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755726\Desktop\"/>
    </mc:Choice>
  </mc:AlternateContent>
  <bookViews>
    <workbookView showHorizontalScroll="0" showVerticalScroll="0" showSheetTabs="0" xWindow="-120" yWindow="-120" windowWidth="20730" windowHeight="11160" activeTab="1"/>
  </bookViews>
  <sheets>
    <sheet name="設定" sheetId="1" r:id="rId1"/>
    <sheet name="試算シート" sheetId="2" r:id="rId2"/>
    <sheet name="試算結果詳細" sheetId="7" r:id="rId3"/>
    <sheet name="均等割額軽減判定" sheetId="8" r:id="rId4"/>
    <sheet name="給与所得換算表" sheetId="9" r:id="rId5"/>
    <sheet name="公的年金所得換算表 " sheetId="10" r:id="rId6"/>
    <sheet name="源泉徴収票" sheetId="6" r:id="rId7"/>
    <sheet name="確申" sheetId="5" r:id="rId8"/>
  </sheets>
  <definedNames>
    <definedName name="_xlnm.Print_Area" localSheetId="5">'公的年金所得換算表 '!$A$1:$T$26</definedName>
    <definedName name="_xlnm.Print_Area" localSheetId="1">試算シート!$B$1:$Y$51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2" l="1"/>
  <c r="M33" i="2"/>
  <c r="M34" i="2"/>
  <c r="M35" i="2"/>
  <c r="M36" i="2"/>
  <c r="M37" i="2"/>
  <c r="M38" i="2"/>
  <c r="M32" i="2"/>
  <c r="Q39" i="2"/>
  <c r="D13" i="8"/>
  <c r="J27" i="2" l="1"/>
  <c r="J31" i="2"/>
  <c r="J32" i="2"/>
  <c r="D32" i="2"/>
  <c r="W32" i="2" s="1"/>
  <c r="D33" i="2"/>
  <c r="W33" i="2" s="1"/>
  <c r="D34" i="2"/>
  <c r="W34" i="2" s="1"/>
  <c r="D35" i="2"/>
  <c r="W35" i="2" s="1"/>
  <c r="D36" i="2"/>
  <c r="W36" i="2" s="1"/>
  <c r="D37" i="2"/>
  <c r="W37" i="2" s="1"/>
  <c r="D38" i="2"/>
  <c r="W38" i="2" s="1"/>
  <c r="D27" i="2"/>
  <c r="W27" i="2" s="1"/>
  <c r="D31" i="2"/>
  <c r="W31" i="2" s="1"/>
  <c r="M31" i="2"/>
  <c r="M27" i="2"/>
  <c r="E13" i="8" l="1"/>
  <c r="X32" i="2" l="1"/>
  <c r="H18" i="7" s="1"/>
  <c r="X33" i="2"/>
  <c r="X34" i="2"/>
  <c r="X35" i="2"/>
  <c r="X36" i="2"/>
  <c r="H22" i="7" s="1"/>
  <c r="X37" i="2"/>
  <c r="H23" i="7" s="1"/>
  <c r="X38" i="2"/>
  <c r="X31" i="2"/>
  <c r="C27" i="2" l="1"/>
  <c r="E32" i="2" l="1"/>
  <c r="E33" i="2"/>
  <c r="E34" i="2"/>
  <c r="E35" i="2"/>
  <c r="E36" i="2"/>
  <c r="E37" i="2"/>
  <c r="E38" i="2"/>
  <c r="N31" i="2"/>
  <c r="C3" i="8" l="1"/>
  <c r="J33" i="2" l="1"/>
  <c r="J34" i="2" l="1"/>
  <c r="J35" i="2"/>
  <c r="J36" i="2"/>
  <c r="J37" i="2"/>
  <c r="F27" i="2"/>
  <c r="E27" i="2"/>
  <c r="N27" i="2"/>
  <c r="J38" i="2"/>
  <c r="C32" i="2"/>
  <c r="C33" i="2"/>
  <c r="C34" i="2"/>
  <c r="C35" i="2"/>
  <c r="C36" i="2"/>
  <c r="C37" i="2"/>
  <c r="C38" i="2"/>
  <c r="C31" i="2"/>
  <c r="O27" i="2" l="1"/>
  <c r="Q27" i="2" s="1"/>
  <c r="C39" i="2"/>
  <c r="D39" i="2"/>
  <c r="N32" i="2"/>
  <c r="N33" i="2"/>
  <c r="N34" i="2"/>
  <c r="N35" i="2"/>
  <c r="N36" i="2"/>
  <c r="N37" i="2"/>
  <c r="N38" i="2"/>
  <c r="E31" i="2"/>
  <c r="W39" i="2" l="1"/>
  <c r="O31" i="2"/>
  <c r="Q31" i="2" s="1"/>
  <c r="Q32" i="2"/>
  <c r="O33" i="2"/>
  <c r="Q33" i="2" s="1"/>
  <c r="O34" i="2"/>
  <c r="Q34" i="2" s="1"/>
  <c r="O35" i="2"/>
  <c r="Q35" i="2" s="1"/>
  <c r="O36" i="2"/>
  <c r="Q36" i="2" s="1"/>
  <c r="O37" i="2"/>
  <c r="Q37" i="2" s="1"/>
  <c r="O38" i="2"/>
  <c r="Q38" i="2" s="1"/>
  <c r="R31" i="2" l="1"/>
  <c r="E15" i="10"/>
  <c r="E16" i="10"/>
  <c r="B16" i="10" s="1"/>
  <c r="G16" i="10" s="1"/>
  <c r="E24" i="10"/>
  <c r="B24" i="10" s="1"/>
  <c r="G24" i="10" s="1"/>
  <c r="E25" i="10"/>
  <c r="B25" i="10" s="1"/>
  <c r="G25" i="10" s="1"/>
  <c r="F34" i="2" l="1"/>
  <c r="F35" i="2"/>
  <c r="F36" i="2"/>
  <c r="F37" i="2"/>
  <c r="F38" i="2"/>
  <c r="F33" i="2"/>
  <c r="F32" i="2"/>
  <c r="F31" i="2"/>
  <c r="C7" i="8" l="1"/>
  <c r="R27" i="2"/>
  <c r="G16" i="7" s="1"/>
  <c r="F39" i="2"/>
  <c r="E16" i="7" l="1"/>
  <c r="C16" i="7"/>
  <c r="C5" i="8"/>
  <c r="C9" i="8" s="1"/>
  <c r="R38" i="2"/>
  <c r="R35" i="2"/>
  <c r="R34" i="2"/>
  <c r="R37" i="2"/>
  <c r="R33" i="2"/>
  <c r="R36" i="2"/>
  <c r="R32" i="2"/>
  <c r="C14" i="8" l="1"/>
  <c r="E14" i="8"/>
  <c r="D14" i="8"/>
  <c r="E21" i="10"/>
  <c r="E12" i="10"/>
  <c r="E18" i="9" l="1"/>
  <c r="B26" i="10" l="1"/>
  <c r="G26" i="10" s="1"/>
  <c r="B17" i="10" l="1"/>
  <c r="G17" i="10" s="1"/>
  <c r="B21" i="10"/>
  <c r="G21" i="10" s="1"/>
  <c r="E23" i="10"/>
  <c r="B23" i="10" s="1"/>
  <c r="G23" i="10" s="1"/>
  <c r="E22" i="10"/>
  <c r="B22" i="10" s="1"/>
  <c r="G22" i="10" s="1"/>
  <c r="B15" i="10"/>
  <c r="G15" i="10" s="1"/>
  <c r="E14" i="10"/>
  <c r="B14" i="10" s="1"/>
  <c r="G14" i="10" s="1"/>
  <c r="E13" i="10"/>
  <c r="B13" i="10" s="1"/>
  <c r="G13" i="10" s="1"/>
  <c r="B12" i="10"/>
  <c r="G12" i="10" s="1"/>
  <c r="B19" i="9" l="1"/>
  <c r="G19" i="9" s="1"/>
  <c r="D8" i="10" l="1"/>
  <c r="E9" i="9"/>
  <c r="B9" i="9" s="1"/>
  <c r="E10" i="9"/>
  <c r="E11" i="9"/>
  <c r="E12" i="9"/>
  <c r="E13" i="9"/>
  <c r="B13" i="9" s="1"/>
  <c r="G13" i="9" s="1"/>
  <c r="E14" i="9"/>
  <c r="E15" i="9"/>
  <c r="B15" i="9" s="1"/>
  <c r="G15" i="9" s="1"/>
  <c r="E16" i="9"/>
  <c r="B16" i="9" s="1"/>
  <c r="G16" i="9" s="1"/>
  <c r="E17" i="9"/>
  <c r="B17" i="9" s="1"/>
  <c r="G17" i="9" s="1"/>
  <c r="B18" i="9"/>
  <c r="G18" i="9" s="1"/>
  <c r="G9" i="9" l="1"/>
  <c r="B10" i="9"/>
  <c r="G10" i="9" s="1"/>
  <c r="B12" i="9"/>
  <c r="G12" i="9" s="1"/>
  <c r="B14" i="9"/>
  <c r="G14" i="9" s="1"/>
  <c r="B11" i="9"/>
  <c r="G11" i="9" s="1"/>
  <c r="H14" i="7"/>
  <c r="F14" i="7"/>
  <c r="D14" i="7"/>
  <c r="G14" i="7"/>
  <c r="E14" i="7"/>
  <c r="C14" i="7"/>
  <c r="D5" i="9" l="1"/>
  <c r="L6" i="7" l="1"/>
  <c r="L5" i="7"/>
  <c r="L4" i="7"/>
  <c r="G17" i="7"/>
  <c r="G18" i="7"/>
  <c r="G19" i="7"/>
  <c r="G20" i="7"/>
  <c r="G21" i="7"/>
  <c r="G22" i="7"/>
  <c r="G23" i="7"/>
  <c r="G24" i="7"/>
  <c r="G25" i="7" l="1"/>
  <c r="C24" i="7"/>
  <c r="E24" i="7"/>
  <c r="C20" i="7"/>
  <c r="E20" i="7"/>
  <c r="E23" i="7"/>
  <c r="C23" i="7"/>
  <c r="E19" i="7"/>
  <c r="C19" i="7"/>
  <c r="E22" i="7"/>
  <c r="C22" i="7"/>
  <c r="E18" i="7"/>
  <c r="C18" i="7"/>
  <c r="C21" i="7"/>
  <c r="E21" i="7"/>
  <c r="E17" i="7"/>
  <c r="C17" i="7"/>
  <c r="E25" i="7" l="1"/>
  <c r="D5" i="7" s="1"/>
  <c r="C25" i="7"/>
  <c r="D4" i="7" s="1"/>
  <c r="D6" i="7"/>
  <c r="H24" i="7" l="1"/>
  <c r="U38" i="2" s="1"/>
  <c r="H21" i="7"/>
  <c r="U35" i="2" s="1"/>
  <c r="H19" i="7"/>
  <c r="U33" i="2" s="1"/>
  <c r="H20" i="7"/>
  <c r="U34" i="2" s="1"/>
  <c r="U37" i="2"/>
  <c r="U36" i="2"/>
  <c r="U32" i="2"/>
  <c r="F7" i="8" l="1"/>
  <c r="H7" i="8" s="1"/>
  <c r="F24" i="7" l="1"/>
  <c r="T38" i="2" s="1"/>
  <c r="D24" i="7"/>
  <c r="F23" i="7"/>
  <c r="T37" i="2" s="1"/>
  <c r="D23" i="7"/>
  <c r="F22" i="7"/>
  <c r="T36" i="2" s="1"/>
  <c r="D22" i="7"/>
  <c r="D20" i="7"/>
  <c r="F20" i="7"/>
  <c r="T34" i="2" s="1"/>
  <c r="F21" i="7"/>
  <c r="T35" i="2" s="1"/>
  <c r="D21" i="7"/>
  <c r="D19" i="7"/>
  <c r="F19" i="7"/>
  <c r="T33" i="2" s="1"/>
  <c r="D18" i="7"/>
  <c r="F18" i="7"/>
  <c r="T32" i="2" s="1"/>
  <c r="H15" i="7"/>
  <c r="D15" i="7"/>
  <c r="H17" i="7"/>
  <c r="U31" i="2" s="1"/>
  <c r="D16" i="7"/>
  <c r="F16" i="7"/>
  <c r="D17" i="7"/>
  <c r="F17" i="7"/>
  <c r="T31" i="2" s="1"/>
  <c r="H16" i="7"/>
  <c r="F15" i="7"/>
  <c r="N12" i="7"/>
  <c r="H41" i="2"/>
  <c r="I24" i="7" l="1"/>
  <c r="S38" i="2"/>
  <c r="V38" i="2" s="1"/>
  <c r="I23" i="7"/>
  <c r="S37" i="2"/>
  <c r="V37" i="2" s="1"/>
  <c r="S36" i="2"/>
  <c r="V36" i="2" s="1"/>
  <c r="I22" i="7"/>
  <c r="S34" i="2"/>
  <c r="V34" i="2" s="1"/>
  <c r="I20" i="7"/>
  <c r="S35" i="2"/>
  <c r="V35" i="2" s="1"/>
  <c r="I21" i="7"/>
  <c r="S33" i="2"/>
  <c r="V33" i="2" s="1"/>
  <c r="I19" i="7"/>
  <c r="S32" i="2"/>
  <c r="V32" i="2" s="1"/>
  <c r="I18" i="7"/>
  <c r="I17" i="7"/>
  <c r="S31" i="2"/>
  <c r="V31" i="2" s="1"/>
  <c r="H25" i="7"/>
  <c r="F6" i="7" s="1"/>
  <c r="H6" i="7" s="1"/>
  <c r="U27" i="2"/>
  <c r="U39" i="2" s="1"/>
  <c r="D25" i="7"/>
  <c r="S27" i="2"/>
  <c r="I16" i="7"/>
  <c r="F25" i="7"/>
  <c r="F5" i="7" s="1"/>
  <c r="H5" i="7" s="1"/>
  <c r="T27" i="2"/>
  <c r="T39" i="2" s="1"/>
  <c r="F4" i="7" l="1"/>
  <c r="H4" i="7" s="1"/>
  <c r="H7" i="7" s="1"/>
  <c r="I25" i="7"/>
  <c r="S39" i="2"/>
  <c r="V39" i="2" s="1"/>
  <c r="G44" i="2" s="1"/>
  <c r="G46" i="2" s="1"/>
  <c r="V27" i="2"/>
</calcChain>
</file>

<file path=xl/sharedStrings.xml><?xml version="1.0" encoding="utf-8"?>
<sst xmlns="http://schemas.openxmlformats.org/spreadsheetml/2006/main" count="227" uniqueCount="167">
  <si>
    <t>所得割</t>
    <rPh sb="0" eb="2">
      <t>ショトク</t>
    </rPh>
    <rPh sb="2" eb="3">
      <t>ワリ</t>
    </rPh>
    <phoneticPr fontId="2"/>
  </si>
  <si>
    <t>均等割</t>
    <rPh sb="0" eb="3">
      <t>キントウワリ</t>
    </rPh>
    <phoneticPr fontId="2"/>
  </si>
  <si>
    <t>限度額</t>
    <rPh sb="0" eb="2">
      <t>ゲンド</t>
    </rPh>
    <rPh sb="2" eb="3">
      <t>ガク</t>
    </rPh>
    <phoneticPr fontId="2"/>
  </si>
  <si>
    <t>基礎控除</t>
    <rPh sb="0" eb="2">
      <t>キソ</t>
    </rPh>
    <rPh sb="2" eb="4">
      <t>コウジョ</t>
    </rPh>
    <phoneticPr fontId="2"/>
  </si>
  <si>
    <t>旧但し書き所得</t>
    <rPh sb="0" eb="1">
      <t>キュウ</t>
    </rPh>
    <rPh sb="1" eb="2">
      <t>タダ</t>
    </rPh>
    <rPh sb="3" eb="4">
      <t>ガ</t>
    </rPh>
    <rPh sb="5" eb="7">
      <t>ショトク</t>
    </rPh>
    <phoneticPr fontId="2"/>
  </si>
  <si>
    <t>医療分</t>
    <rPh sb="0" eb="2">
      <t>イリョウ</t>
    </rPh>
    <rPh sb="2" eb="3">
      <t>ブン</t>
    </rPh>
    <phoneticPr fontId="2"/>
  </si>
  <si>
    <t>介護分</t>
    <rPh sb="0" eb="2">
      <t>カイゴ</t>
    </rPh>
    <rPh sb="2" eb="3">
      <t>ブン</t>
    </rPh>
    <phoneticPr fontId="2"/>
  </si>
  <si>
    <t>加入者</t>
    <rPh sb="0" eb="3">
      <t>カニュウシャ</t>
    </rPh>
    <phoneticPr fontId="2"/>
  </si>
  <si>
    <t>所得割額</t>
    <rPh sb="0" eb="2">
      <t>ショトク</t>
    </rPh>
    <rPh sb="2" eb="3">
      <t>ワリ</t>
    </rPh>
    <rPh sb="3" eb="4">
      <t>ガク</t>
    </rPh>
    <phoneticPr fontId="2"/>
  </si>
  <si>
    <t>合計金額</t>
    <rPh sb="0" eb="2">
      <t>ゴウケイ</t>
    </rPh>
    <rPh sb="2" eb="4">
      <t>キンガク</t>
    </rPh>
    <phoneticPr fontId="2"/>
  </si>
  <si>
    <t>【世帯合計】</t>
    <rPh sb="1" eb="3">
      <t>セタイ</t>
    </rPh>
    <rPh sb="3" eb="5">
      <t>ゴウケイ</t>
    </rPh>
    <phoneticPr fontId="2"/>
  </si>
  <si>
    <t>個人ごとの保険料
概算額（円/年）</t>
    <rPh sb="0" eb="2">
      <t>コジン</t>
    </rPh>
    <rPh sb="5" eb="7">
      <t>ホケン</t>
    </rPh>
    <rPh sb="7" eb="8">
      <t>リョウ</t>
    </rPh>
    <rPh sb="9" eb="11">
      <t>ガイサン</t>
    </rPh>
    <rPh sb="11" eb="12">
      <t>ガク</t>
    </rPh>
    <rPh sb="13" eb="14">
      <t>エン</t>
    </rPh>
    <rPh sb="15" eb="16">
      <t>ネン</t>
    </rPh>
    <phoneticPr fontId="2"/>
  </si>
  <si>
    <t>【保険料詳細】</t>
    <rPh sb="1" eb="4">
      <t>ホケンリョウ</t>
    </rPh>
    <rPh sb="4" eb="6">
      <t>ショウサイ</t>
    </rPh>
    <phoneticPr fontId="2"/>
  </si>
  <si>
    <t>①基礎賦課額
（医療分）</t>
    <rPh sb="1" eb="3">
      <t>キソ</t>
    </rPh>
    <rPh sb="3" eb="6">
      <t>フカガク</t>
    </rPh>
    <rPh sb="8" eb="10">
      <t>イリョウ</t>
    </rPh>
    <rPh sb="10" eb="11">
      <t>ブン</t>
    </rPh>
    <phoneticPr fontId="2"/>
  </si>
  <si>
    <t>①基礎賦課額（医療分）</t>
    <rPh sb="1" eb="3">
      <t>キソ</t>
    </rPh>
    <rPh sb="3" eb="6">
      <t>フカガク</t>
    </rPh>
    <rPh sb="7" eb="9">
      <t>イリョウ</t>
    </rPh>
    <rPh sb="9" eb="10">
      <t>ブン</t>
    </rPh>
    <phoneticPr fontId="2"/>
  </si>
  <si>
    <t>均等割額</t>
    <rPh sb="0" eb="3">
      <t>キントウワ</t>
    </rPh>
    <rPh sb="3" eb="4">
      <t>ガク</t>
    </rPh>
    <phoneticPr fontId="2"/>
  </si>
  <si>
    <t>均等割額</t>
    <rPh sb="0" eb="2">
      <t>キントウ</t>
    </rPh>
    <rPh sb="2" eb="3">
      <t>ワ</t>
    </rPh>
    <rPh sb="3" eb="4">
      <t>ガク</t>
    </rPh>
    <phoneticPr fontId="2"/>
  </si>
  <si>
    <t>計</t>
    <rPh sb="0" eb="1">
      <t>ケイ</t>
    </rPh>
    <phoneticPr fontId="2"/>
  </si>
  <si>
    <t>（単位：円）</t>
    <rPh sb="1" eb="3">
      <t>タンイ</t>
    </rPh>
    <rPh sb="4" eb="5">
      <t>エン</t>
    </rPh>
    <phoneticPr fontId="2"/>
  </si>
  <si>
    <t>（単位：円）</t>
    <phoneticPr fontId="2"/>
  </si>
  <si>
    <t>③介護納付金賦課額
（介護分）</t>
    <rPh sb="1" eb="3">
      <t>カイゴ</t>
    </rPh>
    <rPh sb="3" eb="6">
      <t>ノウフキン</t>
    </rPh>
    <rPh sb="6" eb="9">
      <t>フカガク</t>
    </rPh>
    <rPh sb="11" eb="13">
      <t>カイゴ</t>
    </rPh>
    <rPh sb="13" eb="14">
      <t>ブン</t>
    </rPh>
    <phoneticPr fontId="2"/>
  </si>
  <si>
    <t>（最高限度額：</t>
    <rPh sb="1" eb="3">
      <t>サイコウ</t>
    </rPh>
    <rPh sb="3" eb="5">
      <t>ゲンド</t>
    </rPh>
    <rPh sb="5" eb="6">
      <t>ガク</t>
    </rPh>
    <phoneticPr fontId="2"/>
  </si>
  <si>
    <t>万円）</t>
    <phoneticPr fontId="2"/>
  </si>
  <si>
    <t>加入者数</t>
    <rPh sb="0" eb="3">
      <t>カニュウシャ</t>
    </rPh>
    <rPh sb="3" eb="4">
      <t>スウ</t>
    </rPh>
    <phoneticPr fontId="2"/>
  </si>
  <si>
    <t>世帯所得合計額</t>
    <rPh sb="0" eb="2">
      <t>セタイ</t>
    </rPh>
    <rPh sb="2" eb="4">
      <t>ショトク</t>
    </rPh>
    <rPh sb="4" eb="6">
      <t>ゴウケイ</t>
    </rPh>
    <rPh sb="6" eb="7">
      <t>ガク</t>
    </rPh>
    <phoneticPr fontId="2"/>
  </si>
  <si>
    <t>①</t>
    <phoneticPr fontId="2"/>
  </si>
  <si>
    <t>②</t>
    <phoneticPr fontId="2"/>
  </si>
  <si>
    <t>③</t>
    <phoneticPr fontId="2"/>
  </si>
  <si>
    <t>７割減額</t>
    <rPh sb="1" eb="2">
      <t>ワリ</t>
    </rPh>
    <rPh sb="2" eb="4">
      <t>ゲンガク</t>
    </rPh>
    <phoneticPr fontId="2"/>
  </si>
  <si>
    <t>５割減額</t>
    <rPh sb="1" eb="2">
      <t>ワリ</t>
    </rPh>
    <rPh sb="2" eb="4">
      <t>ゲンガク</t>
    </rPh>
    <phoneticPr fontId="2"/>
  </si>
  <si>
    <t>２割減額</t>
    <rPh sb="1" eb="2">
      <t>ワリ</t>
    </rPh>
    <rPh sb="2" eb="4">
      <t>ゲンガク</t>
    </rPh>
    <phoneticPr fontId="2"/>
  </si>
  <si>
    <t>減額なし</t>
    <rPh sb="0" eb="2">
      <t>ゲンガク</t>
    </rPh>
    <phoneticPr fontId="2"/>
  </si>
  <si>
    <t>均等割額軽減判定</t>
    <rPh sb="0" eb="2">
      <t>キントウ</t>
    </rPh>
    <rPh sb="2" eb="3">
      <t>ワリ</t>
    </rPh>
    <rPh sb="3" eb="4">
      <t>ガク</t>
    </rPh>
    <rPh sb="4" eb="6">
      <t>ケイゲン</t>
    </rPh>
    <rPh sb="6" eb="8">
      <t>ハンテイ</t>
    </rPh>
    <phoneticPr fontId="2"/>
  </si>
  <si>
    <t>【均等割額軽減判定詳細】</t>
    <rPh sb="1" eb="3">
      <t>キントウ</t>
    </rPh>
    <rPh sb="3" eb="4">
      <t>ワリ</t>
    </rPh>
    <rPh sb="4" eb="5">
      <t>ガク</t>
    </rPh>
    <rPh sb="5" eb="7">
      <t>ケイゲン</t>
    </rPh>
    <rPh sb="7" eb="9">
      <t>ハンテイ</t>
    </rPh>
    <rPh sb="9" eb="11">
      <t>ショウサイ</t>
    </rPh>
    <phoneticPr fontId="2"/>
  </si>
  <si>
    <t>均等割額軽減判定</t>
    <rPh sb="0" eb="3">
      <t>キントウワ</t>
    </rPh>
    <rPh sb="3" eb="4">
      <t>ガク</t>
    </rPh>
    <rPh sb="4" eb="6">
      <t>ケイゲン</t>
    </rPh>
    <rPh sb="6" eb="8">
      <t>ハンテイ</t>
    </rPh>
    <phoneticPr fontId="2"/>
  </si>
  <si>
    <t>支援金分</t>
    <rPh sb="0" eb="2">
      <t>シエン</t>
    </rPh>
    <rPh sb="2" eb="3">
      <t>キン</t>
    </rPh>
    <rPh sb="3" eb="4">
      <t>ブン</t>
    </rPh>
    <phoneticPr fontId="2"/>
  </si>
  <si>
    <t>①医療分</t>
    <rPh sb="1" eb="3">
      <t>イリョウ</t>
    </rPh>
    <rPh sb="3" eb="4">
      <t>ブン</t>
    </rPh>
    <phoneticPr fontId="2"/>
  </si>
  <si>
    <t>②支援金分</t>
    <rPh sb="1" eb="3">
      <t>シエン</t>
    </rPh>
    <rPh sb="3" eb="4">
      <t>キン</t>
    </rPh>
    <rPh sb="4" eb="5">
      <t>ブン</t>
    </rPh>
    <phoneticPr fontId="2"/>
  </si>
  <si>
    <t>③介護分</t>
    <rPh sb="1" eb="3">
      <t>カイゴ</t>
    </rPh>
    <rPh sb="3" eb="4">
      <t>ブン</t>
    </rPh>
    <phoneticPr fontId="2"/>
  </si>
  <si>
    <t>該当する所得基準</t>
    <rPh sb="0" eb="2">
      <t>ガイトウ</t>
    </rPh>
    <rPh sb="4" eb="6">
      <t>ショトク</t>
    </rPh>
    <rPh sb="6" eb="8">
      <t>キジュン</t>
    </rPh>
    <phoneticPr fontId="2"/>
  </si>
  <si>
    <t>世帯主と加入者全員の世帯合計所得が次の額以下の世帯</t>
    <rPh sb="0" eb="3">
      <t>セタイヌシ</t>
    </rPh>
    <rPh sb="4" eb="7">
      <t>カニュウシャ</t>
    </rPh>
    <rPh sb="7" eb="9">
      <t>ゼンイン</t>
    </rPh>
    <rPh sb="10" eb="12">
      <t>セタイ</t>
    </rPh>
    <rPh sb="12" eb="14">
      <t>ゴウケイ</t>
    </rPh>
    <rPh sb="14" eb="16">
      <t>ショトク</t>
    </rPh>
    <rPh sb="17" eb="18">
      <t>ツギ</t>
    </rPh>
    <rPh sb="19" eb="20">
      <t>ガク</t>
    </rPh>
    <rPh sb="20" eb="22">
      <t>イカ</t>
    </rPh>
    <rPh sb="23" eb="25">
      <t>セタイ</t>
    </rPh>
    <phoneticPr fontId="2"/>
  </si>
  <si>
    <t>左記の所得基準のいずれにも該当しない世帯</t>
    <rPh sb="0" eb="2">
      <t>サキ</t>
    </rPh>
    <rPh sb="3" eb="5">
      <t>ショトク</t>
    </rPh>
    <rPh sb="5" eb="7">
      <t>キジュン</t>
    </rPh>
    <rPh sb="13" eb="15">
      <t>ガイトウ</t>
    </rPh>
    <rPh sb="18" eb="20">
      <t>セタイ</t>
    </rPh>
    <phoneticPr fontId="2"/>
  </si>
  <si>
    <t>該当所得基準額
（以下）</t>
    <rPh sb="0" eb="2">
      <t>ガイトウ</t>
    </rPh>
    <rPh sb="2" eb="4">
      <t>ショトク</t>
    </rPh>
    <rPh sb="4" eb="6">
      <t>キジュン</t>
    </rPh>
    <rPh sb="6" eb="7">
      <t>ガク</t>
    </rPh>
    <rPh sb="9" eb="11">
      <t>イカ</t>
    </rPh>
    <phoneticPr fontId="2"/>
  </si>
  <si>
    <t>軽減判定後
の均等割額</t>
    <rPh sb="0" eb="2">
      <t>ケイゲン</t>
    </rPh>
    <rPh sb="2" eb="4">
      <t>ハンテイ</t>
    </rPh>
    <rPh sb="4" eb="5">
      <t>ゴ</t>
    </rPh>
    <rPh sb="7" eb="9">
      <t>キントウ</t>
    </rPh>
    <rPh sb="9" eb="10">
      <t>ワリ</t>
    </rPh>
    <rPh sb="10" eb="11">
      <t>ガク</t>
    </rPh>
    <phoneticPr fontId="2"/>
  </si>
  <si>
    <t>③介護納付金賦課額（介護分）
※介護保険第2号被保険者（40歳から64歳）の方が対象</t>
    <rPh sb="1" eb="3">
      <t>カイゴ</t>
    </rPh>
    <rPh sb="3" eb="6">
      <t>ノウフキン</t>
    </rPh>
    <rPh sb="6" eb="9">
      <t>フカガク</t>
    </rPh>
    <rPh sb="10" eb="12">
      <t>カイゴ</t>
    </rPh>
    <rPh sb="12" eb="13">
      <t>ブン</t>
    </rPh>
    <rPh sb="16" eb="18">
      <t>カイゴ</t>
    </rPh>
    <rPh sb="18" eb="20">
      <t>ホケン</t>
    </rPh>
    <rPh sb="20" eb="21">
      <t>ダイ</t>
    </rPh>
    <rPh sb="22" eb="23">
      <t>ゴウ</t>
    </rPh>
    <rPh sb="23" eb="27">
      <t>ヒホケンシャ</t>
    </rPh>
    <rPh sb="30" eb="31">
      <t>サイ</t>
    </rPh>
    <rPh sb="35" eb="36">
      <t>サイ</t>
    </rPh>
    <rPh sb="38" eb="39">
      <t>カタ</t>
    </rPh>
    <rPh sb="40" eb="42">
      <t>タイショウ</t>
    </rPh>
    <phoneticPr fontId="2"/>
  </si>
  <si>
    <t>②後期高齢者支援金等賦課額
（支援金分）</t>
    <rPh sb="1" eb="3">
      <t>コウキ</t>
    </rPh>
    <rPh sb="3" eb="6">
      <t>コウレイシャ</t>
    </rPh>
    <rPh sb="6" eb="9">
      <t>シエンキン</t>
    </rPh>
    <rPh sb="9" eb="10">
      <t>トウ</t>
    </rPh>
    <rPh sb="10" eb="13">
      <t>フカガク</t>
    </rPh>
    <rPh sb="15" eb="18">
      <t>シエンキン</t>
    </rPh>
    <rPh sb="18" eb="19">
      <t>ブン</t>
    </rPh>
    <phoneticPr fontId="2"/>
  </si>
  <si>
    <t>【加入者別保険料詳細】</t>
    <rPh sb="1" eb="4">
      <t>カニュウシャ</t>
    </rPh>
    <rPh sb="4" eb="5">
      <t>ベツ</t>
    </rPh>
    <rPh sb="5" eb="8">
      <t>ホケンリョウ</t>
    </rPh>
    <rPh sb="8" eb="10">
      <t>ショウサイ</t>
    </rPh>
    <phoneticPr fontId="2"/>
  </si>
  <si>
    <t>加入者
ごとの
保険料
概算額</t>
    <rPh sb="0" eb="3">
      <t>カニュウシャ</t>
    </rPh>
    <rPh sb="8" eb="11">
      <t>ホケンリョウ</t>
    </rPh>
    <rPh sb="12" eb="14">
      <t>ガイサン</t>
    </rPh>
    <rPh sb="14" eb="15">
      <t>ガク</t>
    </rPh>
    <phoneticPr fontId="2"/>
  </si>
  <si>
    <t>●以下の条件に該当する場合は、正確な保険料が計算されないことがあります。</t>
    <rPh sb="1" eb="3">
      <t>イカ</t>
    </rPh>
    <rPh sb="4" eb="6">
      <t>ジョウケン</t>
    </rPh>
    <rPh sb="7" eb="9">
      <t>ガイトウ</t>
    </rPh>
    <rPh sb="11" eb="13">
      <t>バアイ</t>
    </rPh>
    <phoneticPr fontId="2"/>
  </si>
  <si>
    <t>～</t>
    <phoneticPr fontId="2"/>
  </si>
  <si>
    <t>給与所得の計算方法</t>
    <rPh sb="0" eb="2">
      <t>キュウヨ</t>
    </rPh>
    <rPh sb="2" eb="4">
      <t>ショトク</t>
    </rPh>
    <rPh sb="5" eb="7">
      <t>ケイサン</t>
    </rPh>
    <rPh sb="7" eb="9">
      <t>ホウホウ</t>
    </rPh>
    <phoneticPr fontId="2"/>
  </si>
  <si>
    <t>給与収入</t>
    <rPh sb="0" eb="2">
      <t>キュウヨ</t>
    </rPh>
    <rPh sb="2" eb="4">
      <t>シュウニュウ</t>
    </rPh>
    <phoneticPr fontId="2"/>
  </si>
  <si>
    <t>給与所得</t>
    <rPh sb="0" eb="2">
      <t>キュウヨ</t>
    </rPh>
    <rPh sb="2" eb="4">
      <t>ショトク</t>
    </rPh>
    <phoneticPr fontId="2"/>
  </si>
  <si>
    <t xml:space="preserve">  0円</t>
    <rPh sb="3" eb="4">
      <t>エン</t>
    </rPh>
    <phoneticPr fontId="2"/>
  </si>
  <si>
    <t>給　与　収　入</t>
    <rPh sb="0" eb="1">
      <t>キュウ</t>
    </rPh>
    <rPh sb="2" eb="3">
      <t>ヨ</t>
    </rPh>
    <rPh sb="4" eb="5">
      <t>オサム</t>
    </rPh>
    <rPh sb="6" eb="7">
      <t>ニュウ</t>
    </rPh>
    <phoneticPr fontId="2"/>
  </si>
  <si>
    <t>給　与　所　得</t>
    <rPh sb="0" eb="1">
      <t>キュウ</t>
    </rPh>
    <rPh sb="2" eb="3">
      <t>ヨ</t>
    </rPh>
    <rPh sb="4" eb="5">
      <t>ショ</t>
    </rPh>
    <rPh sb="6" eb="7">
      <t>トク</t>
    </rPh>
    <phoneticPr fontId="2"/>
  </si>
  <si>
    <t>～</t>
    <phoneticPr fontId="2"/>
  </si>
  <si>
    <t>～</t>
    <phoneticPr fontId="2"/>
  </si>
  <si>
    <t>～</t>
    <phoneticPr fontId="2"/>
  </si>
  <si>
    <t>～</t>
    <phoneticPr fontId="2"/>
  </si>
  <si>
    <t>●２か所以上の事業所から給与を受け取っている場合は、それぞれの源泉徴収票の</t>
    <rPh sb="3" eb="4">
      <t>ショ</t>
    </rPh>
    <rPh sb="4" eb="6">
      <t>イジョウ</t>
    </rPh>
    <rPh sb="7" eb="10">
      <t>ジギョウショ</t>
    </rPh>
    <rPh sb="12" eb="14">
      <t>キュウヨ</t>
    </rPh>
    <rPh sb="15" eb="16">
      <t>ウ</t>
    </rPh>
    <rPh sb="17" eb="18">
      <t>ト</t>
    </rPh>
    <rPh sb="22" eb="24">
      <t>バアイ</t>
    </rPh>
    <rPh sb="31" eb="33">
      <t>ゲンセン</t>
    </rPh>
    <rPh sb="33" eb="35">
      <t>チョウシュウ</t>
    </rPh>
    <rPh sb="35" eb="36">
      <t>ヒョウ</t>
    </rPh>
    <phoneticPr fontId="2"/>
  </si>
  <si>
    <t>　 「支払金額」を合計し、左の給与収入の欄に入力して計算した結果が給与所得です。</t>
    <rPh sb="3" eb="5">
      <t>シハラ</t>
    </rPh>
    <rPh sb="5" eb="7">
      <t>キンガク</t>
    </rPh>
    <rPh sb="9" eb="11">
      <t>ゴウケイ</t>
    </rPh>
    <rPh sb="13" eb="14">
      <t>ヒダリ</t>
    </rPh>
    <rPh sb="15" eb="17">
      <t>キュウヨ</t>
    </rPh>
    <rPh sb="17" eb="19">
      <t>シュウニュウ</t>
    </rPh>
    <rPh sb="20" eb="21">
      <t>ラン</t>
    </rPh>
    <rPh sb="22" eb="24">
      <t>ニュウリョク</t>
    </rPh>
    <rPh sb="26" eb="28">
      <t>ケイサン</t>
    </rPh>
    <rPh sb="30" eb="32">
      <t>ケッカ</t>
    </rPh>
    <rPh sb="33" eb="35">
      <t>キュウヨ</t>
    </rPh>
    <rPh sb="35" eb="37">
      <t>ショトク</t>
    </rPh>
    <phoneticPr fontId="2"/>
  </si>
  <si>
    <t>●特定支出控除がある場合については対応していません。</t>
    <rPh sb="1" eb="3">
      <t>トクテイ</t>
    </rPh>
    <rPh sb="3" eb="5">
      <t>シシュツ</t>
    </rPh>
    <rPh sb="5" eb="7">
      <t>コウジョ</t>
    </rPh>
    <rPh sb="10" eb="12">
      <t>バアイ</t>
    </rPh>
    <rPh sb="17" eb="19">
      <t>タイオウ</t>
    </rPh>
    <phoneticPr fontId="2"/>
  </si>
  <si>
    <t>年齢</t>
    <rPh sb="0" eb="2">
      <t>ネンレイ</t>
    </rPh>
    <phoneticPr fontId="2"/>
  </si>
  <si>
    <t xml:space="preserve"> 　「支払金額」を左の給与収入の欄に入力して計算した結果が給与所得です。</t>
    <phoneticPr fontId="2"/>
  </si>
  <si>
    <t>②後期高齢者支援金等
賦課額（支援金分）</t>
    <rPh sb="1" eb="3">
      <t>コウキ</t>
    </rPh>
    <rPh sb="3" eb="6">
      <t>コウレイシャ</t>
    </rPh>
    <rPh sb="6" eb="9">
      <t>シエンキン</t>
    </rPh>
    <rPh sb="9" eb="10">
      <t>トウ</t>
    </rPh>
    <rPh sb="11" eb="14">
      <t>フカガク</t>
    </rPh>
    <rPh sb="15" eb="18">
      <t>シエンキン</t>
    </rPh>
    <rPh sb="18" eb="19">
      <t>ブン</t>
    </rPh>
    <phoneticPr fontId="2"/>
  </si>
  <si>
    <t>※</t>
    <phoneticPr fontId="2"/>
  </si>
  <si>
    <t>公的年金収入</t>
    <rPh sb="0" eb="2">
      <t>コウテキ</t>
    </rPh>
    <rPh sb="2" eb="3">
      <t>ネン</t>
    </rPh>
    <rPh sb="3" eb="4">
      <t>キン</t>
    </rPh>
    <rPh sb="4" eb="5">
      <t>オサム</t>
    </rPh>
    <rPh sb="5" eb="6">
      <t>ニュウ</t>
    </rPh>
    <phoneticPr fontId="2"/>
  </si>
  <si>
    <t>公的年金所得</t>
    <rPh sb="0" eb="2">
      <t>コウテキ</t>
    </rPh>
    <rPh sb="2" eb="3">
      <t>ネン</t>
    </rPh>
    <rPh sb="3" eb="4">
      <t>キン</t>
    </rPh>
    <rPh sb="4" eb="5">
      <t>ショ</t>
    </rPh>
    <rPh sb="5" eb="6">
      <t>トク</t>
    </rPh>
    <phoneticPr fontId="2"/>
  </si>
  <si>
    <t>公的年金収入</t>
    <rPh sb="0" eb="2">
      <t>コウテキ</t>
    </rPh>
    <rPh sb="2" eb="4">
      <t>ネンキン</t>
    </rPh>
    <rPh sb="4" eb="6">
      <t>シュウニュウ</t>
    </rPh>
    <phoneticPr fontId="2"/>
  </si>
  <si>
    <t>公的年金所得の計算方法</t>
    <rPh sb="0" eb="2">
      <t>コウテキ</t>
    </rPh>
    <rPh sb="2" eb="4">
      <t>ネンキン</t>
    </rPh>
    <rPh sb="4" eb="6">
      <t>ショトク</t>
    </rPh>
    <rPh sb="7" eb="9">
      <t>ケイサン</t>
    </rPh>
    <rPh sb="9" eb="11">
      <t>ホウホウ</t>
    </rPh>
    <phoneticPr fontId="2"/>
  </si>
  <si>
    <t>公的年金所得</t>
    <rPh sb="0" eb="2">
      <t>コウテキ</t>
    </rPh>
    <rPh sb="2" eb="4">
      <t>ネンキン</t>
    </rPh>
    <rPh sb="4" eb="6">
      <t>ショトク</t>
    </rPh>
    <phoneticPr fontId="2"/>
  </si>
  <si>
    <t>●公的年金収入が２か所以上ある場合は、「支払金額」を合計し、左の公的年金収入の欄に入力して計算した</t>
    <rPh sb="1" eb="3">
      <t>コウテキ</t>
    </rPh>
    <rPh sb="3" eb="5">
      <t>ネンキン</t>
    </rPh>
    <rPh sb="5" eb="7">
      <t>シュウニュウ</t>
    </rPh>
    <rPh sb="10" eb="11">
      <t>ショ</t>
    </rPh>
    <rPh sb="11" eb="13">
      <t>イジョウ</t>
    </rPh>
    <rPh sb="15" eb="17">
      <t>バアイ</t>
    </rPh>
    <rPh sb="20" eb="22">
      <t>シハラ</t>
    </rPh>
    <rPh sb="22" eb="24">
      <t>キンガク</t>
    </rPh>
    <rPh sb="26" eb="28">
      <t>ゴウケイ</t>
    </rPh>
    <rPh sb="32" eb="34">
      <t>コウテキ</t>
    </rPh>
    <phoneticPr fontId="2"/>
  </si>
  <si>
    <t>　 結果が公的年金所得です。</t>
    <rPh sb="5" eb="7">
      <t>コウテキ</t>
    </rPh>
    <phoneticPr fontId="2"/>
  </si>
  <si>
    <t>●遺族年金及び障害年金は非課税であるため、「支払金額」には合計しないでください。</t>
    <rPh sb="1" eb="3">
      <t>イゾク</t>
    </rPh>
    <rPh sb="3" eb="5">
      <t>ネンキン</t>
    </rPh>
    <rPh sb="5" eb="6">
      <t>オヨ</t>
    </rPh>
    <rPh sb="7" eb="9">
      <t>ショウガイ</t>
    </rPh>
    <rPh sb="9" eb="11">
      <t>ネンキン</t>
    </rPh>
    <rPh sb="12" eb="15">
      <t>ヒカゼイ</t>
    </rPh>
    <rPh sb="22" eb="24">
      <t>シハラ</t>
    </rPh>
    <rPh sb="24" eb="26">
      <t>キンガク</t>
    </rPh>
    <rPh sb="29" eb="31">
      <t>ゴウケイ</t>
    </rPh>
    <phoneticPr fontId="2"/>
  </si>
  <si>
    <t>―</t>
    <phoneticPr fontId="2"/>
  </si>
  <si>
    <t>世帯主と加入者全員の世帯合計所得次の額以下の世帯
430,000円+（給与所得者等の数-1）×100,000円以下の世帯</t>
    <rPh sb="0" eb="3">
      <t>セタイヌシ</t>
    </rPh>
    <rPh sb="4" eb="7">
      <t>カニュウシャ</t>
    </rPh>
    <rPh sb="7" eb="9">
      <t>ゼンイン</t>
    </rPh>
    <rPh sb="10" eb="12">
      <t>セタイ</t>
    </rPh>
    <rPh sb="12" eb="14">
      <t>ゴウケイ</t>
    </rPh>
    <rPh sb="14" eb="16">
      <t>ショトク</t>
    </rPh>
    <rPh sb="16" eb="17">
      <t>ツギ</t>
    </rPh>
    <rPh sb="18" eb="19">
      <t>ガク</t>
    </rPh>
    <rPh sb="19" eb="21">
      <t>イカ</t>
    </rPh>
    <rPh sb="22" eb="24">
      <t>セタイ</t>
    </rPh>
    <rPh sb="36" eb="38">
      <t>キュウヨ</t>
    </rPh>
    <rPh sb="38" eb="40">
      <t>ショトク</t>
    </rPh>
    <rPh sb="40" eb="41">
      <t>シャ</t>
    </rPh>
    <rPh sb="41" eb="42">
      <t>トウ</t>
    </rPh>
    <rPh sb="43" eb="44">
      <t>カズ</t>
    </rPh>
    <rPh sb="55" eb="56">
      <t>エン</t>
    </rPh>
    <phoneticPr fontId="2"/>
  </si>
  <si>
    <t>給与所得者等の数</t>
  </si>
  <si>
    <t>所得金額
調整控除</t>
    <rPh sb="0" eb="2">
      <t>ショトク</t>
    </rPh>
    <rPh sb="2" eb="4">
      <t>キンガク</t>
    </rPh>
    <rPh sb="5" eb="7">
      <t>チョウセイ</t>
    </rPh>
    <rPh sb="7" eb="9">
      <t>コウジョ</t>
    </rPh>
    <phoneticPr fontId="2"/>
  </si>
  <si>
    <t xml:space="preserve">  給与収入－550,000円</t>
    <rPh sb="14" eb="15">
      <t>エン</t>
    </rPh>
    <phoneticPr fontId="2"/>
  </si>
  <si>
    <t xml:space="preserve">  1,069,000円</t>
    <rPh sb="11" eb="12">
      <t>エン</t>
    </rPh>
    <phoneticPr fontId="2"/>
  </si>
  <si>
    <t xml:space="preserve">  1,070,000円</t>
    <rPh sb="11" eb="12">
      <t>エン</t>
    </rPh>
    <phoneticPr fontId="2"/>
  </si>
  <si>
    <t xml:space="preserve">  1,072,000円</t>
    <rPh sb="11" eb="12">
      <t>エン</t>
    </rPh>
    <phoneticPr fontId="2"/>
  </si>
  <si>
    <t xml:space="preserve">  1,074,000円</t>
    <rPh sb="11" eb="12">
      <t>エン</t>
    </rPh>
    <phoneticPr fontId="2"/>
  </si>
  <si>
    <t xml:space="preserve">  給与収入×90%－1,100,000円</t>
    <rPh sb="20" eb="21">
      <t>エン</t>
    </rPh>
    <phoneticPr fontId="2"/>
  </si>
  <si>
    <t xml:space="preserve">  給与収入－1,950,000円</t>
    <rPh sb="16" eb="17">
      <t>エン</t>
    </rPh>
    <phoneticPr fontId="2"/>
  </si>
  <si>
    <t>（公的年金等に係る雑所得以外の合計所得金額が1,000万円以下のみ換算できます。）</t>
    <rPh sb="33" eb="35">
      <t>カンサン</t>
    </rPh>
    <phoneticPr fontId="2"/>
  </si>
  <si>
    <t>●公的年金等に係る雑所得以外の合計所得金額が1,000万円以下のみ換算できます。1,000万円を超える場合は</t>
    <phoneticPr fontId="2"/>
  </si>
  <si>
    <t>　 このシートでは換算できません。</t>
    <phoneticPr fontId="2"/>
  </si>
  <si>
    <t xml:space="preserve">  年金収入－600,000円</t>
    <rPh sb="14" eb="15">
      <t>エン</t>
    </rPh>
    <phoneticPr fontId="2"/>
  </si>
  <si>
    <t xml:space="preserve">  年金収入×75%－275,000円</t>
    <rPh sb="18" eb="19">
      <t>エン</t>
    </rPh>
    <phoneticPr fontId="2"/>
  </si>
  <si>
    <t xml:space="preserve">  年金収入×85%－685,000円</t>
    <rPh sb="2" eb="4">
      <t>ネンキン</t>
    </rPh>
    <rPh sb="4" eb="6">
      <t>シュウニュウ</t>
    </rPh>
    <rPh sb="18" eb="19">
      <t>エン</t>
    </rPh>
    <phoneticPr fontId="2"/>
  </si>
  <si>
    <t xml:space="preserve">  年金収入×95%－1,455,000円</t>
    <rPh sb="2" eb="4">
      <t>ネンキン</t>
    </rPh>
    <rPh sb="4" eb="6">
      <t>シュウニュウ</t>
    </rPh>
    <rPh sb="20" eb="21">
      <t>エン</t>
    </rPh>
    <phoneticPr fontId="2"/>
  </si>
  <si>
    <t xml:space="preserve">  年金収入－1,100,000円</t>
    <rPh sb="16" eb="17">
      <t>エン</t>
    </rPh>
    <phoneticPr fontId="2"/>
  </si>
  <si>
    <t>.</t>
    <phoneticPr fontId="2"/>
  </si>
  <si>
    <t>　年金収入－1,955,000円</t>
    <rPh sb="1" eb="3">
      <t>ネンキン</t>
    </rPh>
    <phoneticPr fontId="2"/>
  </si>
  <si>
    <t>　年金収入－1,955,000円</t>
    <rPh sb="1" eb="3">
      <t>ネンキン</t>
    </rPh>
    <rPh sb="3" eb="5">
      <t>シュウニュウ</t>
    </rPh>
    <rPh sb="15" eb="16">
      <t>エン</t>
    </rPh>
    <phoneticPr fontId="2"/>
  </si>
  <si>
    <t>所得金額調整控除用
給与所得金額</t>
    <rPh sb="8" eb="9">
      <t>ヨウ</t>
    </rPh>
    <rPh sb="10" eb="12">
      <t>キュウヨ</t>
    </rPh>
    <rPh sb="12" eb="14">
      <t>ショトク</t>
    </rPh>
    <rPh sb="14" eb="16">
      <t>キンガク</t>
    </rPh>
    <phoneticPr fontId="2"/>
  </si>
  <si>
    <t>所得金額調整控除用
公的年金等の雑所得金額</t>
    <rPh sb="8" eb="9">
      <t>ヨウ</t>
    </rPh>
    <rPh sb="10" eb="12">
      <t>コウテキ</t>
    </rPh>
    <rPh sb="12" eb="15">
      <t>ネンキンナド</t>
    </rPh>
    <rPh sb="16" eb="19">
      <t>ザッショトク</t>
    </rPh>
    <rPh sb="19" eb="21">
      <t>キンガク</t>
    </rPh>
    <phoneticPr fontId="2"/>
  </si>
  <si>
    <t xml:space="preserve">  A×2.4＋100,000円</t>
    <rPh sb="15" eb="16">
      <t>エン</t>
    </rPh>
    <phoneticPr fontId="2"/>
  </si>
  <si>
    <t xml:space="preserve">  A×2.8－80,000円</t>
    <rPh sb="14" eb="15">
      <t>エン</t>
    </rPh>
    <phoneticPr fontId="2"/>
  </si>
  <si>
    <t xml:space="preserve">  A×3.2－440,000円</t>
    <rPh sb="15" eb="16">
      <t>エン</t>
    </rPh>
    <phoneticPr fontId="2"/>
  </si>
  <si>
    <t>※ A=給与収入÷4　（1000円以下を切り捨てます。）</t>
    <rPh sb="4" eb="6">
      <t>キュウヨ</t>
    </rPh>
    <rPh sb="16" eb="17">
      <t>エン</t>
    </rPh>
    <phoneticPr fontId="2"/>
  </si>
  <si>
    <t>世帯員
（国保加入者のみ）</t>
    <rPh sb="0" eb="3">
      <t>セタイイン</t>
    </rPh>
    <rPh sb="5" eb="7">
      <t>コクホ</t>
    </rPh>
    <rPh sb="7" eb="10">
      <t>カニュウシャ</t>
    </rPh>
    <phoneticPr fontId="2"/>
  </si>
  <si>
    <t>　③分離課税・繰越控除等の申告をされた方がいる世帯　　　　　　　④専従者控除または専従者給与のある方がいる世帯</t>
    <rPh sb="2" eb="4">
      <t>ブンリ</t>
    </rPh>
    <rPh sb="4" eb="6">
      <t>カゼイ</t>
    </rPh>
    <rPh sb="7" eb="9">
      <t>クリコシ</t>
    </rPh>
    <rPh sb="9" eb="11">
      <t>コウジョ</t>
    </rPh>
    <rPh sb="11" eb="12">
      <t>トウ</t>
    </rPh>
    <rPh sb="13" eb="15">
      <t>シンコク</t>
    </rPh>
    <rPh sb="19" eb="20">
      <t>カタ</t>
    </rPh>
    <phoneticPr fontId="2"/>
  </si>
  <si>
    <t>　①年度途中で国民健康保険に加入・脱退された方がいる世帯　　 ②年度途中で40歳・65歳・75歳になる（なった）方がいる世帯</t>
    <rPh sb="2" eb="4">
      <t>ネンド</t>
    </rPh>
    <rPh sb="4" eb="6">
      <t>トチュウ</t>
    </rPh>
    <rPh sb="7" eb="9">
      <t>コクミン</t>
    </rPh>
    <rPh sb="9" eb="11">
      <t>ケンコウ</t>
    </rPh>
    <rPh sb="11" eb="13">
      <t>ホケン</t>
    </rPh>
    <rPh sb="14" eb="16">
      <t>カニュウ</t>
    </rPh>
    <rPh sb="17" eb="19">
      <t>ダッタイ</t>
    </rPh>
    <rPh sb="22" eb="23">
      <t>カタ</t>
    </rPh>
    <rPh sb="26" eb="28">
      <t>セタイ</t>
    </rPh>
    <phoneticPr fontId="2"/>
  </si>
  <si>
    <t>　⑤非自発的失業に係る保険料減額対象の方がいる世帯　　　　  　⑥65歳以上で公的年金等に係る所得がある方がいる世帯</t>
    <rPh sb="2" eb="3">
      <t>ヒ</t>
    </rPh>
    <rPh sb="3" eb="6">
      <t>ジハツテキ</t>
    </rPh>
    <rPh sb="6" eb="8">
      <t>シツギョウ</t>
    </rPh>
    <rPh sb="11" eb="13">
      <t>ホケン</t>
    </rPh>
    <rPh sb="13" eb="14">
      <t>リョウ</t>
    </rPh>
    <rPh sb="14" eb="16">
      <t>ゲンガク</t>
    </rPh>
    <rPh sb="16" eb="18">
      <t>タイショウ</t>
    </rPh>
    <rPh sb="19" eb="20">
      <t>カタ</t>
    </rPh>
    <phoneticPr fontId="2"/>
  </si>
  <si>
    <t>　⑩給与等の収入金額が850万円を超え、同一生計配偶者もしくは扶養親族のいずれかが特別障害者である場合、または23歳未</t>
    <rPh sb="2" eb="4">
      <t>キュウヨ</t>
    </rPh>
    <rPh sb="4" eb="5">
      <t>トウ</t>
    </rPh>
    <rPh sb="6" eb="8">
      <t>シュウニュウ</t>
    </rPh>
    <rPh sb="8" eb="10">
      <t>キンガク</t>
    </rPh>
    <rPh sb="14" eb="16">
      <t>マンエン</t>
    </rPh>
    <rPh sb="17" eb="18">
      <t>コ</t>
    </rPh>
    <rPh sb="20" eb="22">
      <t>ドウイツ</t>
    </rPh>
    <rPh sb="22" eb="24">
      <t>セイケイ</t>
    </rPh>
    <rPh sb="24" eb="27">
      <t>ハイグウシャ</t>
    </rPh>
    <rPh sb="31" eb="33">
      <t>フヨウ</t>
    </rPh>
    <rPh sb="33" eb="35">
      <t>シンゾク</t>
    </rPh>
    <rPh sb="41" eb="43">
      <t>トクベツ</t>
    </rPh>
    <rPh sb="43" eb="46">
      <t>ショウガイシャ</t>
    </rPh>
    <rPh sb="49" eb="51">
      <t>バアイ</t>
    </rPh>
    <phoneticPr fontId="2"/>
  </si>
  <si>
    <t>個人ごとの保険料
概算額（円/年）</t>
    <phoneticPr fontId="2"/>
  </si>
  <si>
    <t>それ以外の
所得金額</t>
    <rPh sb="2" eb="4">
      <t>イガイ</t>
    </rPh>
    <rPh sb="6" eb="8">
      <t>ショトク</t>
    </rPh>
    <rPh sb="8" eb="10">
      <t>キンガク</t>
    </rPh>
    <phoneticPr fontId="2"/>
  </si>
  <si>
    <t>それ以外の
所得金額</t>
    <phoneticPr fontId="2"/>
  </si>
  <si>
    <t>「0」の場合は「0」と入力してください。</t>
    <rPh sb="4" eb="6">
      <t>バアイ</t>
    </rPh>
    <rPh sb="11" eb="13">
      <t>ニュウリョク</t>
    </rPh>
    <phoneticPr fontId="2"/>
  </si>
  <si>
    <t>[世帯員について]</t>
  </si>
  <si>
    <t>[世帯員について]</t>
    <rPh sb="1" eb="4">
      <t>セタイイン</t>
    </rPh>
    <phoneticPr fontId="2"/>
  </si>
  <si>
    <t>[世帯主について]</t>
  </si>
  <si>
    <t>[世帯主について]</t>
    <rPh sb="1" eb="4">
      <t>セタイヌシ</t>
    </rPh>
    <phoneticPr fontId="2"/>
  </si>
  <si>
    <t>加入中（予定）の健康保険を選択し、色のついた項目を入力してください。</t>
    <rPh sb="0" eb="2">
      <t>カニュウ</t>
    </rPh>
    <rPh sb="2" eb="3">
      <t>チュウ</t>
    </rPh>
    <rPh sb="4" eb="6">
      <t>ヨテイ</t>
    </rPh>
    <rPh sb="8" eb="10">
      <t>ケンコウ</t>
    </rPh>
    <rPh sb="10" eb="12">
      <t>ホケン</t>
    </rPh>
    <rPh sb="13" eb="15">
      <t>センタク</t>
    </rPh>
    <rPh sb="17" eb="18">
      <t>イロ</t>
    </rPh>
    <rPh sb="22" eb="24">
      <t>コウモク</t>
    </rPh>
    <rPh sb="25" eb="27">
      <t>ニュウリョク</t>
    </rPh>
    <phoneticPr fontId="2"/>
  </si>
  <si>
    <t>色のついた項目を入力してください。</t>
    <rPh sb="0" eb="1">
      <t>イロ</t>
    </rPh>
    <rPh sb="5" eb="7">
      <t>コウモク</t>
    </rPh>
    <rPh sb="8" eb="10">
      <t>ニュウリョク</t>
    </rPh>
    <phoneticPr fontId="2"/>
  </si>
  <si>
    <t>世帯主</t>
    <rPh sb="0" eb="3">
      <t>セタイヌシ</t>
    </rPh>
    <phoneticPr fontId="2"/>
  </si>
  <si>
    <t>加入中の保険を選択してください↓</t>
    <rPh sb="0" eb="2">
      <t>カニュウ</t>
    </rPh>
    <rPh sb="2" eb="3">
      <t>チュウ</t>
    </rPh>
    <rPh sb="4" eb="6">
      <t>ホケン</t>
    </rPh>
    <rPh sb="7" eb="9">
      <t>センタク</t>
    </rPh>
    <phoneticPr fontId="2"/>
  </si>
  <si>
    <t>旧但し書き所得</t>
    <phoneticPr fontId="2"/>
  </si>
  <si>
    <t>入力チェック</t>
    <rPh sb="0" eb="2">
      <t>ニュウリョク</t>
    </rPh>
    <phoneticPr fontId="2"/>
  </si>
  <si>
    <t>　各種書類をお持ちでない方</t>
    <rPh sb="1" eb="3">
      <t>カクシュ</t>
    </rPh>
    <rPh sb="3" eb="5">
      <t>ショルイ</t>
    </rPh>
    <rPh sb="7" eb="8">
      <t>モ</t>
    </rPh>
    <rPh sb="12" eb="13">
      <t>カタ</t>
    </rPh>
    <phoneticPr fontId="2"/>
  </si>
  <si>
    <t>※入力に不足があると入力チェック欄がNGになります。</t>
    <rPh sb="1" eb="3">
      <t>ニュウリョク</t>
    </rPh>
    <rPh sb="4" eb="6">
      <t>フソク</t>
    </rPh>
    <rPh sb="10" eb="12">
      <t>ニュウリョク</t>
    </rPh>
    <rPh sb="16" eb="17">
      <t>ラン</t>
    </rPh>
    <phoneticPr fontId="2"/>
  </si>
  <si>
    <t>均等割額
軽減判定</t>
    <phoneticPr fontId="2"/>
  </si>
  <si>
    <t>《世帯の年間保険料概算額》</t>
  </si>
  <si>
    <r>
      <t>《世帯の月あたり保険料概算額》　</t>
    </r>
    <r>
      <rPr>
        <b/>
        <sz val="14"/>
        <color rgb="FFFF0000"/>
        <rFont val="ＭＳ Ｐゴシック"/>
        <family val="3"/>
        <charset val="128"/>
      </rPr>
      <t>※月あたりの支払額は届出日等により異なります。</t>
    </r>
    <rPh sb="1" eb="3">
      <t>セタイ</t>
    </rPh>
    <rPh sb="4" eb="5">
      <t>ツキ</t>
    </rPh>
    <rPh sb="8" eb="11">
      <t>ホケンリョウ</t>
    </rPh>
    <rPh sb="11" eb="13">
      <t>ガイサン</t>
    </rPh>
    <rPh sb="13" eb="14">
      <t>ガク</t>
    </rPh>
    <rPh sb="17" eb="18">
      <t>ツキ</t>
    </rPh>
    <rPh sb="22" eb="24">
      <t>シハライ</t>
    </rPh>
    <rPh sb="24" eb="25">
      <t>ガク</t>
    </rPh>
    <rPh sb="26" eb="28">
      <t>トドケデ</t>
    </rPh>
    <rPh sb="28" eb="29">
      <t>ビ</t>
    </rPh>
    <rPh sb="29" eb="30">
      <t>トウ</t>
    </rPh>
    <rPh sb="33" eb="34">
      <t>コト</t>
    </rPh>
    <phoneticPr fontId="2"/>
  </si>
  <si>
    <t>　　　　各種書類をお持ちの方</t>
    <rPh sb="4" eb="6">
      <t>カクシュ</t>
    </rPh>
    <rPh sb="6" eb="8">
      <t>ショルイ</t>
    </rPh>
    <rPh sb="10" eb="11">
      <t>モ</t>
    </rPh>
    <rPh sb="13" eb="14">
      <t>カタ</t>
    </rPh>
    <phoneticPr fontId="2"/>
  </si>
  <si>
    <r>
      <t>　⑨特定同一世帯所属者（</t>
    </r>
    <r>
      <rPr>
        <b/>
        <sz val="16"/>
        <color theme="1"/>
        <rFont val="ＭＳ Ｐゴシック"/>
        <family val="3"/>
        <charset val="128"/>
      </rPr>
      <t>※１</t>
    </r>
    <r>
      <rPr>
        <sz val="16"/>
        <rFont val="ＭＳ Ｐゴシック"/>
        <family val="3"/>
        <charset val="128"/>
      </rPr>
      <t xml:space="preserve">）がいる世帯　          </t>
    </r>
    <phoneticPr fontId="2"/>
  </si>
  <si>
    <r>
      <t>　⑦長期譲渡所得及び短期譲渡所得がある方がいる世帯            ⑧旧被扶養者（</t>
    </r>
    <r>
      <rPr>
        <b/>
        <sz val="16"/>
        <rFont val="ＭＳ Ｐゴシック"/>
        <family val="3"/>
        <charset val="128"/>
      </rPr>
      <t>※２</t>
    </r>
    <r>
      <rPr>
        <sz val="16"/>
        <rFont val="ＭＳ Ｐゴシック"/>
        <family val="3"/>
        <charset val="128"/>
      </rPr>
      <t>）がいる世帯　</t>
    </r>
    <rPh sb="2" eb="4">
      <t>チョウキ</t>
    </rPh>
    <rPh sb="4" eb="6">
      <t>ジョウト</t>
    </rPh>
    <rPh sb="6" eb="8">
      <t>ショトク</t>
    </rPh>
    <rPh sb="8" eb="9">
      <t>オヨ</t>
    </rPh>
    <rPh sb="10" eb="12">
      <t>タンキ</t>
    </rPh>
    <rPh sb="12" eb="14">
      <t>ジョウト</t>
    </rPh>
    <rPh sb="14" eb="16">
      <t>ショトク</t>
    </rPh>
    <rPh sb="19" eb="20">
      <t>カタ</t>
    </rPh>
    <phoneticPr fontId="2"/>
  </si>
  <si>
    <t>※１後期高齢者医療制度への加入により国民健康保険の資格を喪失した方で、引き続き同じ世帯に属する方</t>
    <phoneticPr fontId="2"/>
  </si>
  <si>
    <t>●この計算結果はあくまでもシミュレーションであり、実際の保険料と異なる場合があります。
正確な金額は納入通知書によりご確認ください。</t>
    <phoneticPr fontId="2"/>
  </si>
  <si>
    <t>※２被用者保険（会社の社会保険や共済組合等をいい、国保組合を除く）の被保険者であった方が後期高齢者医療制度に加入し</t>
    <phoneticPr fontId="2"/>
  </si>
  <si>
    <t>　   たことにより、被用者保険の被扶養者から国民健康保険の加入者となった65歳以上の方</t>
    <phoneticPr fontId="2"/>
  </si>
  <si>
    <t>給与所得者等</t>
    <rPh sb="0" eb="2">
      <t>キュウヨ</t>
    </rPh>
    <rPh sb="2" eb="4">
      <t>ショトク</t>
    </rPh>
    <rPh sb="4" eb="5">
      <t>シャ</t>
    </rPh>
    <rPh sb="5" eb="6">
      <t>トウ</t>
    </rPh>
    <phoneticPr fontId="2"/>
  </si>
  <si>
    <t>調整控除対象</t>
    <rPh sb="0" eb="2">
      <t>チョウセイ</t>
    </rPh>
    <rPh sb="2" eb="4">
      <t>コウジョ</t>
    </rPh>
    <rPh sb="4" eb="6">
      <t>タイショウ</t>
    </rPh>
    <phoneticPr fontId="2"/>
  </si>
  <si>
    <t>入力数</t>
    <rPh sb="0" eb="2">
      <t>ニュウリョク</t>
    </rPh>
    <rPh sb="2" eb="3">
      <t>スウ</t>
    </rPh>
    <phoneticPr fontId="2"/>
  </si>
  <si>
    <t>エラー</t>
    <phoneticPr fontId="2"/>
  </si>
  <si>
    <t>未就学児
減免対象</t>
    <phoneticPr fontId="2"/>
  </si>
  <si>
    <t>年齢
（加入時）</t>
    <rPh sb="0" eb="2">
      <t>ネンレイ</t>
    </rPh>
    <rPh sb="4" eb="6">
      <t>カニュウ</t>
    </rPh>
    <rPh sb="6" eb="7">
      <t>ジ</t>
    </rPh>
    <phoneticPr fontId="2"/>
  </si>
  <si>
    <t>[入力方法]　　右記のリンクを参照してください。</t>
    <rPh sb="1" eb="3">
      <t>ニュウリョク</t>
    </rPh>
    <rPh sb="3" eb="5">
      <t>ホウホウ</t>
    </rPh>
    <rPh sb="8" eb="10">
      <t>ウキ</t>
    </rPh>
    <rPh sb="15" eb="17">
      <t>サンショウ</t>
    </rPh>
    <phoneticPr fontId="2"/>
  </si>
  <si>
    <t xml:space="preserve">  保険料に関するお問い合わせ</t>
    <phoneticPr fontId="2"/>
  </si>
  <si>
    <t>※令和5年分の公的年金収入を入力してください。</t>
    <rPh sb="7" eb="9">
      <t>コウテキ</t>
    </rPh>
    <rPh sb="9" eb="11">
      <t>ネンキン</t>
    </rPh>
    <phoneticPr fontId="2"/>
  </si>
  <si>
    <r>
      <t xml:space="preserve">   </t>
    </r>
    <r>
      <rPr>
        <b/>
        <sz val="16"/>
        <rFont val="ＭＳ Ｐゴシック"/>
        <family val="3"/>
        <charset val="128"/>
      </rPr>
      <t>国保年金課国保資格係</t>
    </r>
    <r>
      <rPr>
        <sz val="16"/>
        <rFont val="ＭＳ Ｐゴシック"/>
        <family val="3"/>
        <charset val="128"/>
      </rPr>
      <t>　TEL：０３-３８０２-３１１１　内線　２３７３～２３７６</t>
    </r>
    <rPh sb="8" eb="10">
      <t>コクホ</t>
    </rPh>
    <rPh sb="31" eb="33">
      <t>ナイセン</t>
    </rPh>
    <phoneticPr fontId="2"/>
  </si>
  <si>
    <t>雑所得合計</t>
    <rPh sb="0" eb="3">
      <t>ザツショトク</t>
    </rPh>
    <rPh sb="3" eb="5">
      <t>ゴウケイ</t>
    </rPh>
    <phoneticPr fontId="2"/>
  </si>
  <si>
    <t>※実際の保険料と異なる場合があります。</t>
    <phoneticPr fontId="2"/>
  </si>
  <si>
    <t xml:space="preserve">　　満の扶養親族がいる場合                                         　 　　 </t>
    <phoneticPr fontId="2"/>
  </si>
  <si>
    <t>（単位：円）</t>
  </si>
  <si>
    <t>雑所得やそれ以外の所得でマイナスの場合は「－****(金額)」の形で入力してください。</t>
    <rPh sb="0" eb="1">
      <t>ザツ</t>
    </rPh>
    <rPh sb="1" eb="3">
      <t>ショトク</t>
    </rPh>
    <rPh sb="6" eb="8">
      <t>イガイ</t>
    </rPh>
    <rPh sb="9" eb="11">
      <t>ショトク</t>
    </rPh>
    <rPh sb="17" eb="19">
      <t>バアイ</t>
    </rPh>
    <rPh sb="27" eb="29">
      <t>キンガク</t>
    </rPh>
    <rPh sb="32" eb="33">
      <t>カタチ</t>
    </rPh>
    <rPh sb="34" eb="36">
      <t>ニュウリョク</t>
    </rPh>
    <phoneticPr fontId="2"/>
  </si>
  <si>
    <t>軽減判定用</t>
    <rPh sb="0" eb="5">
      <t>ケイゲンハンテイヨウ</t>
    </rPh>
    <phoneticPr fontId="2"/>
  </si>
  <si>
    <t>国民健康保険</t>
  </si>
  <si>
    <t>令和7年度　荒川区国民健康保険料　試算シート</t>
    <rPh sb="0" eb="2">
      <t>レイワ</t>
    </rPh>
    <rPh sb="3" eb="5">
      <t>ネンド</t>
    </rPh>
    <rPh sb="6" eb="8">
      <t>アラカワ</t>
    </rPh>
    <rPh sb="8" eb="9">
      <t>ク</t>
    </rPh>
    <rPh sb="9" eb="11">
      <t>コクミン</t>
    </rPh>
    <rPh sb="11" eb="13">
      <t>ケンコウ</t>
    </rPh>
    <rPh sb="13" eb="15">
      <t>ホケン</t>
    </rPh>
    <rPh sb="15" eb="16">
      <t>リョウ</t>
    </rPh>
    <rPh sb="17" eb="19">
      <t>シサン</t>
    </rPh>
    <phoneticPr fontId="2"/>
  </si>
  <si>
    <t>令和6年分　公的年金所得換算表</t>
    <rPh sb="3" eb="5">
      <t>ネンブン</t>
    </rPh>
    <rPh sb="4" eb="5">
      <t>ブン</t>
    </rPh>
    <rPh sb="6" eb="8">
      <t>コウテキ</t>
    </rPh>
    <rPh sb="8" eb="10">
      <t>ネンキン</t>
    </rPh>
    <rPh sb="14" eb="15">
      <t>ヒョウ</t>
    </rPh>
    <phoneticPr fontId="2"/>
  </si>
  <si>
    <t>※令和7年1月1日現在の年齢を入力してください。</t>
    <rPh sb="1" eb="2">
      <t>レイ</t>
    </rPh>
    <rPh sb="2" eb="3">
      <t>ワ</t>
    </rPh>
    <phoneticPr fontId="2"/>
  </si>
  <si>
    <t>●「令和6年 源泉徴収票」の「支払金額」を左の公的年金収入の欄に入力して計算した結果が公的年金所得です。</t>
    <rPh sb="15" eb="17">
      <t>シハラ</t>
    </rPh>
    <rPh sb="17" eb="19">
      <t>キンガク</t>
    </rPh>
    <rPh sb="21" eb="22">
      <t>ヒダリ</t>
    </rPh>
    <rPh sb="23" eb="25">
      <t>コウテキ</t>
    </rPh>
    <rPh sb="25" eb="27">
      <t>ネンキン</t>
    </rPh>
    <rPh sb="27" eb="29">
      <t>シュウニュウ</t>
    </rPh>
    <rPh sb="30" eb="31">
      <t>ラン</t>
    </rPh>
    <rPh sb="32" eb="34">
      <t>ニュウリョク</t>
    </rPh>
    <rPh sb="36" eb="38">
      <t>ケイサン</t>
    </rPh>
    <rPh sb="40" eb="42">
      <t>ケッカ</t>
    </rPh>
    <rPh sb="43" eb="45">
      <t>コウテキ</t>
    </rPh>
    <rPh sb="45" eb="47">
      <t>ネンキン</t>
    </rPh>
    <rPh sb="47" eb="49">
      <t>ショトク</t>
    </rPh>
    <phoneticPr fontId="2"/>
  </si>
  <si>
    <t>【令和7年1月1日現在で65歳未満の方】</t>
    <rPh sb="1" eb="2">
      <t>レイ</t>
    </rPh>
    <rPh sb="2" eb="3">
      <t>ワ</t>
    </rPh>
    <rPh sb="4" eb="5">
      <t>ネン</t>
    </rPh>
    <rPh sb="5" eb="6">
      <t>ヘイネン</t>
    </rPh>
    <rPh sb="6" eb="7">
      <t>ガツ</t>
    </rPh>
    <rPh sb="8" eb="9">
      <t>ニチ</t>
    </rPh>
    <rPh sb="9" eb="11">
      <t>ゲンザイ</t>
    </rPh>
    <rPh sb="14" eb="15">
      <t>サイ</t>
    </rPh>
    <rPh sb="15" eb="17">
      <t>ミマン</t>
    </rPh>
    <rPh sb="18" eb="19">
      <t>カタ</t>
    </rPh>
    <phoneticPr fontId="2"/>
  </si>
  <si>
    <t>【令和7年1月1日現在で65歳以上の方】</t>
    <rPh sb="1" eb="2">
      <t>レイ</t>
    </rPh>
    <rPh sb="2" eb="3">
      <t>ワ</t>
    </rPh>
    <rPh sb="4" eb="5">
      <t>ネン</t>
    </rPh>
    <rPh sb="5" eb="6">
      <t>ヘイネン</t>
    </rPh>
    <rPh sb="6" eb="7">
      <t>ガツ</t>
    </rPh>
    <rPh sb="8" eb="9">
      <t>ニチ</t>
    </rPh>
    <rPh sb="9" eb="11">
      <t>ゲンザイ</t>
    </rPh>
    <rPh sb="14" eb="15">
      <t>サイ</t>
    </rPh>
    <rPh sb="15" eb="17">
      <t>イジョウ</t>
    </rPh>
    <rPh sb="18" eb="19">
      <t>カタ</t>
    </rPh>
    <phoneticPr fontId="2"/>
  </si>
  <si>
    <t>令和6年分　給与所得換算表</t>
    <rPh sb="3" eb="5">
      <t>ネンブン</t>
    </rPh>
    <rPh sb="4" eb="5">
      <t>ブン</t>
    </rPh>
    <rPh sb="12" eb="13">
      <t>ヒョウ</t>
    </rPh>
    <phoneticPr fontId="2"/>
  </si>
  <si>
    <t>●「令和6年分　給与所得の源泉徴収票」の「給与所得控除後の金額」が空欄の場合は、</t>
    <rPh sb="21" eb="23">
      <t>キュウヨ</t>
    </rPh>
    <rPh sb="23" eb="25">
      <t>ショトク</t>
    </rPh>
    <rPh sb="25" eb="27">
      <t>コウジョ</t>
    </rPh>
    <rPh sb="27" eb="28">
      <t>ゴ</t>
    </rPh>
    <rPh sb="29" eb="31">
      <t>キンガク</t>
    </rPh>
    <rPh sb="33" eb="35">
      <t>クウラン</t>
    </rPh>
    <rPh sb="36" eb="38">
      <t>バアイ</t>
    </rPh>
    <phoneticPr fontId="2"/>
  </si>
  <si>
    <t>※令和6年分の給与収入を入力してください。</t>
    <rPh sb="7" eb="9">
      <t>キュウヨ</t>
    </rPh>
    <rPh sb="9" eb="11">
      <t>シュウニュウ</t>
    </rPh>
    <rPh sb="12" eb="14">
      <t>ニュウリョク</t>
    </rPh>
    <phoneticPr fontId="2"/>
  </si>
  <si>
    <t>令和6年中の
給与所得金額</t>
    <rPh sb="0" eb="1">
      <t>レイ</t>
    </rPh>
    <rPh sb="1" eb="2">
      <t>ワ</t>
    </rPh>
    <rPh sb="3" eb="4">
      <t>ネン</t>
    </rPh>
    <rPh sb="4" eb="5">
      <t>チュウ</t>
    </rPh>
    <rPh sb="7" eb="9">
      <t>キュウヨ</t>
    </rPh>
    <rPh sb="9" eb="11">
      <t>ショトク</t>
    </rPh>
    <rPh sb="11" eb="13">
      <t>キンガク</t>
    </rPh>
    <phoneticPr fontId="2"/>
  </si>
  <si>
    <t>令和6年中の
公的年金等の
所得金額</t>
    <rPh sb="0" eb="1">
      <t>レイ</t>
    </rPh>
    <rPh sb="1" eb="2">
      <t>ワ</t>
    </rPh>
    <rPh sb="3" eb="4">
      <t>ネン</t>
    </rPh>
    <rPh sb="4" eb="5">
      <t>チュウ</t>
    </rPh>
    <rPh sb="7" eb="9">
      <t>コウテキ</t>
    </rPh>
    <rPh sb="9" eb="11">
      <t>ネンキン</t>
    </rPh>
    <rPh sb="11" eb="12">
      <t>トウ</t>
    </rPh>
    <rPh sb="14" eb="16">
      <t>ザツショトク</t>
    </rPh>
    <rPh sb="16" eb="18">
      <t>キンガク</t>
    </rPh>
    <phoneticPr fontId="2"/>
  </si>
  <si>
    <t>令和6年中の
雑所得（公的年金以外）</t>
    <rPh sb="7" eb="10">
      <t>ザツショトク</t>
    </rPh>
    <rPh sb="11" eb="15">
      <t>コウテキネンキン</t>
    </rPh>
    <rPh sb="15" eb="17">
      <t>イガイ</t>
    </rPh>
    <phoneticPr fontId="2"/>
  </si>
  <si>
    <t>令和6年中の
総所得金額等</t>
    <rPh sb="0" eb="1">
      <t>レイ</t>
    </rPh>
    <rPh sb="1" eb="2">
      <t>ワ</t>
    </rPh>
    <rPh sb="3" eb="4">
      <t>ネン</t>
    </rPh>
    <rPh sb="4" eb="5">
      <t>チュウ</t>
    </rPh>
    <rPh sb="7" eb="10">
      <t>ソウショトク</t>
    </rPh>
    <rPh sb="10" eb="12">
      <t>キンガク</t>
    </rPh>
    <rPh sb="12" eb="13">
      <t>トウ</t>
    </rPh>
    <phoneticPr fontId="2"/>
  </si>
  <si>
    <r>
      <t xml:space="preserve">「0」の場合は「0」と入力してください。雑所得やそれ以外の所得でマイナスの場合は「－****(金額)」の形で入力してください。
</t>
    </r>
    <r>
      <rPr>
        <b/>
        <sz val="16"/>
        <color rgb="FFFF0000"/>
        <rFont val="ＭＳ Ｐゴシック"/>
        <family val="3"/>
        <charset val="128"/>
      </rPr>
      <t>※</t>
    </r>
    <r>
      <rPr>
        <b/>
        <u/>
        <sz val="16"/>
        <color rgb="FFFF0000"/>
        <rFont val="ＭＳ Ｐゴシック"/>
        <family val="3"/>
        <charset val="128"/>
      </rPr>
      <t>6歳以下の被保険者の方については、減免判定のため令和8年4月1日時点の年齢を入力してください。</t>
    </r>
    <rPh sb="4" eb="6">
      <t>バアイ</t>
    </rPh>
    <rPh sb="11" eb="13">
      <t>ニュウリョク</t>
    </rPh>
    <rPh sb="66" eb="69">
      <t>サイイカ</t>
    </rPh>
    <rPh sb="70" eb="74">
      <t>ヒホケンシャ</t>
    </rPh>
    <rPh sb="75" eb="76">
      <t>カタ</t>
    </rPh>
    <rPh sb="82" eb="84">
      <t>ゲンメン</t>
    </rPh>
    <rPh sb="84" eb="86">
      <t>ハンテイ</t>
    </rPh>
    <rPh sb="89" eb="91">
      <t>レイワ</t>
    </rPh>
    <rPh sb="92" eb="93">
      <t>ネン</t>
    </rPh>
    <rPh sb="94" eb="95">
      <t>ガツ</t>
    </rPh>
    <rPh sb="96" eb="97">
      <t>ニチ</t>
    </rPh>
    <rPh sb="97" eb="99">
      <t>ジテン</t>
    </rPh>
    <rPh sb="100" eb="102">
      <t>ネンレイ</t>
    </rPh>
    <rPh sb="103" eb="105">
      <t>ニュウリョク</t>
    </rPh>
    <phoneticPr fontId="2"/>
  </si>
  <si>
    <t>令和6年中の
給与所得金額</t>
    <phoneticPr fontId="2"/>
  </si>
  <si>
    <t>令和6年中の
公的年金等の
雑所得金額</t>
    <rPh sb="0" eb="1">
      <t>レイ</t>
    </rPh>
    <rPh sb="1" eb="2">
      <t>ワ</t>
    </rPh>
    <rPh sb="3" eb="4">
      <t>ネン</t>
    </rPh>
    <rPh sb="4" eb="5">
      <t>チュウ</t>
    </rPh>
    <rPh sb="7" eb="9">
      <t>コウテキ</t>
    </rPh>
    <rPh sb="9" eb="12">
      <t>ネンキンナド</t>
    </rPh>
    <rPh sb="14" eb="17">
      <t>ザッショトク</t>
    </rPh>
    <rPh sb="17" eb="19">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</si>
</sst>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6" formatCode="#,##0&quot;円&quot;"/>
    <numFmt numFmtId="177" formatCode="0&quot;人&quot;"/>
    <numFmt numFmtId="178" formatCode="#,##0_ ;[Red]\-#,##0\ "/>
    <numFmt numFmtId="179" formatCode="#,###&quot;円&quot;"/>
    <numFmt numFmtId="180" formatCode="0&quot;歳&quot;"/>
    <numFmt numFmtId="181" formatCode="#,##0_ "/>
    <numFmt numFmtId="182"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u/>
      <sz val="11"/>
      <color theme="10"/>
      <name val="ＭＳ Ｐゴシック"/>
      <family val="3"/>
      <charset val="128"/>
    </font>
    <font>
      <u/>
      <sz val="10"/>
      <color theme="10"/>
      <name val="ＭＳ Ｐゴシック"/>
      <family val="3"/>
      <charset val="128"/>
    </font>
    <font>
      <b/>
      <sz val="12"/>
      <color rgb="FFFF0000"/>
      <name val="ＭＳ Ｐゴシック"/>
      <family val="3"/>
      <charset val="128"/>
    </font>
    <font>
      <b/>
      <sz val="11"/>
      <name val="ＭＳ Ｐゴシック"/>
      <family val="3"/>
      <charset val="128"/>
    </font>
    <font>
      <b/>
      <sz val="16"/>
      <name val="ＭＳ Ｐゴシック"/>
      <family val="3"/>
      <charset val="128"/>
    </font>
    <font>
      <b/>
      <sz val="10"/>
      <name val="ＭＳ Ｐゴシック"/>
      <family val="3"/>
      <charset val="128"/>
    </font>
    <font>
      <b/>
      <sz val="11"/>
      <color rgb="FFFF0000"/>
      <name val="ＭＳ Ｐゴシック"/>
      <family val="3"/>
      <charset val="128"/>
    </font>
    <font>
      <b/>
      <sz val="9"/>
      <name val="ＭＳ Ｐゴシック"/>
      <family val="3"/>
      <charset val="128"/>
    </font>
    <font>
      <b/>
      <sz val="14"/>
      <color rgb="FFFF0000"/>
      <name val="ＭＳ Ｐゴシック"/>
      <family val="3"/>
      <charset val="128"/>
    </font>
    <font>
      <b/>
      <sz val="18"/>
      <name val="ＭＳ Ｐゴシック"/>
      <family val="3"/>
      <charset val="128"/>
    </font>
    <font>
      <b/>
      <sz val="20"/>
      <name val="ＭＳ Ｐゴシック"/>
      <family val="3"/>
      <charset val="128"/>
    </font>
    <font>
      <sz val="16"/>
      <name val="ＭＳ Ｐゴシック"/>
      <family val="3"/>
      <charset val="128"/>
    </font>
    <font>
      <b/>
      <sz val="28"/>
      <color rgb="FF0070C0"/>
      <name val="Meiryo UI"/>
      <family val="3"/>
      <charset val="128"/>
    </font>
    <font>
      <b/>
      <sz val="11"/>
      <color theme="2" tint="-0.89999084444715716"/>
      <name val="ＭＳ Ｐゴシック"/>
      <family val="3"/>
      <charset val="128"/>
    </font>
    <font>
      <b/>
      <sz val="16"/>
      <color theme="1"/>
      <name val="ＭＳ Ｐゴシック"/>
      <family val="3"/>
      <charset val="128"/>
    </font>
    <font>
      <sz val="16"/>
      <color rgb="FFFF0000"/>
      <name val="ＭＳ Ｐゴシック"/>
      <family val="3"/>
      <charset val="128"/>
    </font>
    <font>
      <b/>
      <sz val="22"/>
      <color rgb="FFFF0000"/>
      <name val="ＭＳ Ｐゴシック"/>
      <family val="3"/>
      <charset val="128"/>
    </font>
    <font>
      <b/>
      <sz val="22"/>
      <name val="ＭＳ Ｐゴシック"/>
      <family val="3"/>
      <charset val="128"/>
    </font>
    <font>
      <b/>
      <u/>
      <sz val="16"/>
      <color rgb="FFFF0000"/>
      <name val="ＭＳ Ｐゴシック"/>
      <family val="3"/>
      <charset val="128"/>
    </font>
    <font>
      <b/>
      <sz val="16"/>
      <color rgb="FFFF0000"/>
      <name val="ＭＳ Ｐゴシック"/>
      <family val="3"/>
      <charset val="128"/>
    </font>
    <font>
      <b/>
      <sz val="18"/>
      <name val="ＭＳ Ｐゴシック"/>
      <family val="3"/>
      <charset val="128"/>
      <scheme val="minor"/>
    </font>
    <font>
      <b/>
      <sz val="14"/>
      <color theme="1"/>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FF00"/>
        <bgColor indexed="64"/>
      </patternFill>
    </fill>
    <fill>
      <patternFill patternType="solid">
        <fgColor rgb="FFCCFF33"/>
        <bgColor indexed="64"/>
      </patternFill>
    </fill>
    <fill>
      <patternFill patternType="solid">
        <fgColor theme="9" tint="-0.249977111117893"/>
        <bgColor indexed="64"/>
      </patternFill>
    </fill>
    <fill>
      <patternFill patternType="solid">
        <fgColor rgb="FFFFFFCC"/>
        <bgColor indexed="64"/>
      </patternFill>
    </fill>
    <fill>
      <patternFill patternType="solid">
        <fgColor rgb="FFFFFF99"/>
        <bgColor indexed="64"/>
      </patternFill>
    </fill>
  </fills>
  <borders count="100">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style="medium">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diagonalDown="1">
      <left style="medium">
        <color indexed="64"/>
      </left>
      <right style="thin">
        <color indexed="64"/>
      </right>
      <top style="medium">
        <color indexed="64"/>
      </top>
      <bottom style="double">
        <color indexed="64"/>
      </bottom>
      <diagonal style="thin">
        <color indexed="64"/>
      </diagonal>
    </border>
    <border>
      <left/>
      <right/>
      <top style="double">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indexed="64"/>
      </top>
      <bottom/>
      <diagonal/>
    </border>
    <border>
      <left/>
      <right style="medium">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38" fontId="1" fillId="0" borderId="0" applyFont="0" applyFill="0" applyBorder="0" applyAlignment="0" applyProtection="0"/>
  </cellStyleXfs>
  <cellXfs count="454">
    <xf numFmtId="0" fontId="0" fillId="0" borderId="0" xfId="0"/>
    <xf numFmtId="0" fontId="3" fillId="0" borderId="0" xfId="0" applyFont="1" applyAlignment="1">
      <alignment vertical="center"/>
    </xf>
    <xf numFmtId="0" fontId="3" fillId="0" borderId="0" xfId="0" applyFont="1" applyAlignment="1">
      <alignment horizontal="distributed" vertical="center" justifyLastLine="1"/>
    </xf>
    <xf numFmtId="0" fontId="0" fillId="0" borderId="0" xfId="0" applyAlignment="1">
      <alignment vertical="center"/>
    </xf>
    <xf numFmtId="0" fontId="5" fillId="0" borderId="0" xfId="0" applyFont="1"/>
    <xf numFmtId="0" fontId="6" fillId="0" borderId="0" xfId="0" applyFont="1"/>
    <xf numFmtId="0" fontId="5" fillId="0" borderId="0" xfId="0" applyFont="1" applyAlignment="1">
      <alignment vertical="center"/>
    </xf>
    <xf numFmtId="0" fontId="6" fillId="0" borderId="0" xfId="0" applyFont="1" applyAlignment="1">
      <alignment shrinkToFit="1"/>
    </xf>
    <xf numFmtId="0" fontId="6" fillId="0" borderId="0" xfId="0" applyFont="1" applyAlignment="1">
      <alignment horizontal="right"/>
    </xf>
    <xf numFmtId="0" fontId="5" fillId="0" borderId="0" xfId="0" applyFont="1" applyAlignment="1">
      <alignment horizontal="left" vertical="center"/>
    </xf>
    <xf numFmtId="0" fontId="6" fillId="0" borderId="38" xfId="0" applyFont="1" applyBorder="1" applyAlignment="1">
      <alignment horizontal="center" vertical="center"/>
    </xf>
    <xf numFmtId="0" fontId="5" fillId="0" borderId="0" xfId="0" applyFont="1" applyBorder="1" applyAlignment="1">
      <alignment horizontal="center" vertical="center"/>
    </xf>
    <xf numFmtId="38" fontId="6" fillId="0" borderId="0" xfId="3" applyFont="1" applyBorder="1" applyAlignment="1">
      <alignment horizontal="center" vertical="center" shrinkToFit="1"/>
    </xf>
    <xf numFmtId="0" fontId="6" fillId="0" borderId="25" xfId="0" applyFont="1" applyBorder="1" applyAlignment="1">
      <alignment horizontal="center" vertical="center" shrinkToFit="1"/>
    </xf>
    <xf numFmtId="0" fontId="6" fillId="5" borderId="37"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3" fillId="5" borderId="0" xfId="0" applyFont="1" applyFill="1" applyAlignment="1">
      <alignment vertical="center"/>
    </xf>
    <xf numFmtId="0" fontId="3" fillId="6" borderId="0" xfId="0" applyFont="1" applyFill="1" applyAlignment="1">
      <alignment vertical="center"/>
    </xf>
    <xf numFmtId="0" fontId="5" fillId="0" borderId="0" xfId="0" applyFont="1" applyAlignment="1">
      <alignment horizontal="right" vertical="center"/>
    </xf>
    <xf numFmtId="177" fontId="6" fillId="0" borderId="39" xfId="0" applyNumberFormat="1" applyFont="1" applyBorder="1" applyAlignment="1">
      <alignment horizontal="center" vertical="center"/>
    </xf>
    <xf numFmtId="0" fontId="6" fillId="4" borderId="37" xfId="0" applyFont="1" applyFill="1" applyBorder="1" applyAlignment="1">
      <alignment horizontal="center" vertical="center"/>
    </xf>
    <xf numFmtId="38" fontId="3" fillId="0" borderId="30" xfId="3" applyFont="1" applyBorder="1" applyAlignment="1">
      <alignment horizontal="right" vertical="center"/>
    </xf>
    <xf numFmtId="38" fontId="3" fillId="0" borderId="29" xfId="3" applyFont="1" applyBorder="1" applyAlignment="1">
      <alignment horizontal="right" vertical="center"/>
    </xf>
    <xf numFmtId="38" fontId="3" fillId="0" borderId="36" xfId="3" applyFont="1" applyBorder="1" applyAlignment="1">
      <alignment horizontal="right" vertical="center"/>
    </xf>
    <xf numFmtId="0" fontId="5" fillId="5" borderId="0" xfId="0" applyFont="1" applyFill="1"/>
    <xf numFmtId="178" fontId="5" fillId="0" borderId="0" xfId="0" applyNumberFormat="1" applyFont="1" applyAlignment="1">
      <alignment horizontal="center" vertical="center"/>
    </xf>
    <xf numFmtId="38" fontId="3" fillId="0" borderId="33" xfId="3" applyFont="1" applyBorder="1" applyAlignment="1">
      <alignment horizontal="right" vertical="center"/>
    </xf>
    <xf numFmtId="38" fontId="3" fillId="0" borderId="51" xfId="3" applyFont="1" applyBorder="1" applyAlignment="1">
      <alignment horizontal="right" vertical="center"/>
    </xf>
    <xf numFmtId="38" fontId="3" fillId="0" borderId="21" xfId="3" applyFont="1" applyBorder="1" applyAlignment="1">
      <alignment horizontal="right" vertical="center"/>
    </xf>
    <xf numFmtId="38" fontId="3" fillId="0" borderId="14" xfId="3" applyFont="1" applyBorder="1" applyAlignment="1">
      <alignment horizontal="right" vertical="center"/>
    </xf>
    <xf numFmtId="38" fontId="3" fillId="0" borderId="17" xfId="3" applyFont="1" applyBorder="1" applyAlignment="1">
      <alignment horizontal="right" vertical="center"/>
    </xf>
    <xf numFmtId="0" fontId="3" fillId="5" borderId="48" xfId="0" applyFont="1" applyFill="1" applyBorder="1" applyAlignment="1">
      <alignment horizontal="center" vertical="center"/>
    </xf>
    <xf numFmtId="38" fontId="3" fillId="5" borderId="45" xfId="3" applyFont="1" applyFill="1" applyBorder="1" applyAlignment="1">
      <alignment horizontal="right" vertical="center"/>
    </xf>
    <xf numFmtId="0" fontId="0" fillId="5" borderId="0" xfId="0" applyFill="1"/>
    <xf numFmtId="38" fontId="0" fillId="7" borderId="15" xfId="3" applyFont="1" applyFill="1" applyBorder="1" applyAlignment="1">
      <alignment vertical="center"/>
    </xf>
    <xf numFmtId="38" fontId="0" fillId="7" borderId="52" xfId="3" applyFont="1" applyFill="1" applyBorder="1" applyAlignment="1">
      <alignment vertical="center"/>
    </xf>
    <xf numFmtId="38" fontId="0" fillId="7" borderId="18" xfId="3" applyFont="1" applyFill="1" applyBorder="1" applyAlignment="1">
      <alignment vertical="center"/>
    </xf>
    <xf numFmtId="38" fontId="0" fillId="7" borderId="23" xfId="3" applyFont="1" applyFill="1" applyBorder="1" applyAlignment="1">
      <alignment vertical="center"/>
    </xf>
    <xf numFmtId="10" fontId="0" fillId="7" borderId="20" xfId="1" applyNumberFormat="1" applyFont="1" applyFill="1" applyBorder="1" applyAlignment="1">
      <alignment vertical="center"/>
    </xf>
    <xf numFmtId="10" fontId="0" fillId="7" borderId="21" xfId="1" applyNumberFormat="1" applyFont="1" applyFill="1" applyBorder="1" applyAlignment="1">
      <alignment vertical="center"/>
    </xf>
    <xf numFmtId="10" fontId="0" fillId="7" borderId="29" xfId="1" applyNumberFormat="1" applyFont="1" applyFill="1" applyBorder="1" applyAlignment="1">
      <alignment vertical="center"/>
    </xf>
    <xf numFmtId="38" fontId="0" fillId="7" borderId="33" xfId="3" applyFont="1" applyFill="1" applyBorder="1" applyAlignment="1">
      <alignment vertical="center"/>
    </xf>
    <xf numFmtId="38" fontId="0" fillId="7" borderId="36" xfId="3" applyFont="1" applyFill="1" applyBorder="1" applyAlignment="1">
      <alignment vertical="center"/>
    </xf>
    <xf numFmtId="0" fontId="0" fillId="0" borderId="40" xfId="0" applyBorder="1" applyAlignment="1">
      <alignment vertical="center"/>
    </xf>
    <xf numFmtId="0" fontId="0" fillId="0" borderId="41" xfId="0" applyBorder="1" applyAlignment="1">
      <alignment horizontal="distributed" vertical="center"/>
    </xf>
    <xf numFmtId="0" fontId="0" fillId="0" borderId="47" xfId="0" applyBorder="1" applyAlignment="1">
      <alignment horizontal="distributed" vertical="center"/>
    </xf>
    <xf numFmtId="0" fontId="0" fillId="0" borderId="42" xfId="0" applyBorder="1" applyAlignment="1">
      <alignment horizontal="distributed" vertical="center"/>
    </xf>
    <xf numFmtId="38" fontId="0" fillId="7" borderId="32" xfId="3" applyFont="1" applyFill="1" applyBorder="1" applyAlignment="1">
      <alignment vertical="center"/>
    </xf>
    <xf numFmtId="38" fontId="0" fillId="7" borderId="35" xfId="3" applyFont="1" applyFill="1" applyBorder="1" applyAlignment="1">
      <alignment vertical="center"/>
    </xf>
    <xf numFmtId="38" fontId="0" fillId="7" borderId="54" xfId="3" applyFont="1" applyFill="1" applyBorder="1" applyAlignment="1">
      <alignment vertical="center"/>
    </xf>
    <xf numFmtId="0" fontId="0" fillId="0" borderId="49" xfId="0" applyBorder="1" applyAlignment="1">
      <alignment horizontal="distributed" vertical="center"/>
    </xf>
    <xf numFmtId="0" fontId="0" fillId="0" borderId="25" xfId="0" applyBorder="1" applyAlignment="1">
      <alignment horizontal="distributed" vertical="center"/>
    </xf>
    <xf numFmtId="38" fontId="0" fillId="7" borderId="37" xfId="3" applyFont="1" applyFill="1" applyBorder="1" applyAlignment="1">
      <alignment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39" xfId="0" applyBorder="1" applyAlignment="1">
      <alignment horizontal="distributed" vertical="center"/>
    </xf>
    <xf numFmtId="38" fontId="0" fillId="0" borderId="0" xfId="0" applyNumberFormat="1" applyAlignment="1">
      <alignment vertical="center"/>
    </xf>
    <xf numFmtId="38" fontId="6" fillId="0" borderId="10" xfId="3" applyFont="1" applyBorder="1" applyAlignment="1">
      <alignment horizontal="right" vertical="center"/>
    </xf>
    <xf numFmtId="38" fontId="6" fillId="0" borderId="11" xfId="3" applyFont="1" applyBorder="1" applyAlignment="1">
      <alignment horizontal="right" vertical="center"/>
    </xf>
    <xf numFmtId="38" fontId="6" fillId="0" borderId="39" xfId="3" applyFont="1" applyBorder="1" applyAlignment="1">
      <alignment horizontal="center" vertical="center"/>
    </xf>
    <xf numFmtId="0" fontId="6" fillId="0" borderId="37" xfId="0" applyFont="1" applyBorder="1" applyAlignment="1">
      <alignment horizontal="center" vertical="center" wrapText="1"/>
    </xf>
    <xf numFmtId="0" fontId="6" fillId="0" borderId="72" xfId="0" applyFont="1" applyBorder="1" applyAlignment="1">
      <alignment horizontal="center" vertical="center"/>
    </xf>
    <xf numFmtId="0" fontId="6" fillId="0" borderId="55"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4" fillId="0" borderId="22" xfId="0" applyFont="1" applyBorder="1" applyAlignment="1">
      <alignment horizontal="left" vertical="top" wrapText="1"/>
    </xf>
    <xf numFmtId="0" fontId="4" fillId="0" borderId="69" xfId="0" applyFont="1" applyBorder="1" applyAlignment="1">
      <alignment horizontal="center" vertical="center"/>
    </xf>
    <xf numFmtId="0" fontId="4" fillId="0" borderId="69" xfId="0" applyFont="1" applyBorder="1" applyAlignment="1">
      <alignment horizontal="center" vertical="center" wrapText="1"/>
    </xf>
    <xf numFmtId="0" fontId="4" fillId="0" borderId="41" xfId="0" applyFont="1" applyBorder="1" applyAlignment="1">
      <alignment horizontal="center" vertical="center"/>
    </xf>
    <xf numFmtId="0" fontId="4" fillId="0" borderId="47" xfId="0" applyFont="1" applyBorder="1" applyAlignment="1">
      <alignment horizontal="center" vertical="center"/>
    </xf>
    <xf numFmtId="0" fontId="4" fillId="0" borderId="42" xfId="0" applyFont="1" applyBorder="1" applyAlignment="1">
      <alignment horizontal="center" vertical="center"/>
    </xf>
    <xf numFmtId="38" fontId="4" fillId="0" borderId="41" xfId="3" applyFont="1" applyBorder="1" applyAlignment="1">
      <alignment horizontal="right" vertical="center"/>
    </xf>
    <xf numFmtId="38" fontId="4" fillId="0" borderId="42" xfId="3" applyFont="1" applyBorder="1" applyAlignment="1">
      <alignment horizontal="right" vertical="center"/>
    </xf>
    <xf numFmtId="38" fontId="4" fillId="0" borderId="69" xfId="0" applyNumberFormat="1" applyFont="1" applyBorder="1" applyAlignment="1">
      <alignment horizontal="right" vertical="center"/>
    </xf>
    <xf numFmtId="38" fontId="4" fillId="0" borderId="19" xfId="0" applyNumberFormat="1" applyFont="1" applyBorder="1" applyAlignment="1">
      <alignment horizontal="right" vertical="center"/>
    </xf>
    <xf numFmtId="38" fontId="4" fillId="0" borderId="71" xfId="0" applyNumberFormat="1" applyFont="1" applyBorder="1" applyAlignment="1">
      <alignment horizontal="right" vertical="center"/>
    </xf>
    <xf numFmtId="38" fontId="4" fillId="0" borderId="23" xfId="0" applyNumberFormat="1" applyFont="1" applyBorder="1" applyAlignment="1">
      <alignment horizontal="right" vertical="center"/>
    </xf>
    <xf numFmtId="0" fontId="5" fillId="0" borderId="0" xfId="0" applyFont="1" applyFill="1" applyAlignment="1">
      <alignment vertical="center"/>
    </xf>
    <xf numFmtId="0" fontId="5" fillId="5" borderId="0" xfId="0" applyFont="1" applyFill="1" applyAlignment="1">
      <alignment vertical="center"/>
    </xf>
    <xf numFmtId="0" fontId="3" fillId="0" borderId="0" xfId="0" applyFont="1" applyFill="1" applyAlignment="1">
      <alignment vertical="center"/>
    </xf>
    <xf numFmtId="0" fontId="4" fillId="0" borderId="77" xfId="0" applyFont="1" applyBorder="1" applyAlignment="1">
      <alignment horizontal="left" vertical="top" wrapText="1"/>
    </xf>
    <xf numFmtId="0" fontId="4" fillId="0" borderId="78" xfId="0" applyFont="1" applyBorder="1" applyAlignment="1">
      <alignment horizontal="left" vertical="top" wrapText="1"/>
    </xf>
    <xf numFmtId="38" fontId="5" fillId="0" borderId="0" xfId="3" applyFont="1" applyAlignment="1">
      <alignment vertical="center"/>
    </xf>
    <xf numFmtId="38" fontId="5" fillId="0" borderId="0" xfId="3" applyFont="1" applyFill="1" applyAlignment="1">
      <alignment vertical="center"/>
    </xf>
    <xf numFmtId="38" fontId="5" fillId="0" borderId="51" xfId="3" applyFont="1" applyFill="1" applyBorder="1" applyAlignment="1">
      <alignment horizontal="center" vertical="center"/>
    </xf>
    <xf numFmtId="38" fontId="5" fillId="0" borderId="29" xfId="3" applyFont="1" applyFill="1" applyBorder="1" applyAlignment="1">
      <alignment vertical="center"/>
    </xf>
    <xf numFmtId="38" fontId="5" fillId="0" borderId="20" xfId="3" applyFont="1" applyFill="1" applyBorder="1" applyAlignment="1">
      <alignment vertical="center"/>
    </xf>
    <xf numFmtId="38" fontId="5" fillId="0" borderId="21" xfId="3" applyFont="1" applyFill="1" applyBorder="1" applyAlignment="1">
      <alignment vertical="center"/>
    </xf>
    <xf numFmtId="38" fontId="5" fillId="0" borderId="14" xfId="3" applyFont="1" applyFill="1" applyBorder="1" applyAlignment="1">
      <alignment horizontal="center" vertical="center"/>
    </xf>
    <xf numFmtId="38" fontId="5" fillId="0" borderId="33" xfId="3" applyFont="1" applyFill="1" applyBorder="1" applyAlignment="1">
      <alignment vertical="center"/>
    </xf>
    <xf numFmtId="38" fontId="5" fillId="0" borderId="15" xfId="3" applyFont="1" applyFill="1" applyBorder="1" applyAlignment="1">
      <alignment vertical="center"/>
    </xf>
    <xf numFmtId="38" fontId="5" fillId="0" borderId="52" xfId="3" applyFont="1" applyFill="1" applyBorder="1" applyAlignment="1">
      <alignment vertical="center"/>
    </xf>
    <xf numFmtId="38" fontId="5" fillId="0" borderId="17" xfId="3" applyFont="1" applyFill="1" applyBorder="1" applyAlignment="1">
      <alignment horizontal="center" vertical="center"/>
    </xf>
    <xf numFmtId="38" fontId="5" fillId="0" borderId="18" xfId="3" applyFont="1" applyFill="1" applyBorder="1" applyAlignment="1">
      <alignment vertical="center"/>
    </xf>
    <xf numFmtId="38" fontId="5" fillId="0" borderId="23" xfId="3" applyFont="1" applyFill="1" applyBorder="1" applyAlignment="1">
      <alignment vertical="center"/>
    </xf>
    <xf numFmtId="38" fontId="6" fillId="0" borderId="0" xfId="3" applyFont="1" applyAlignment="1">
      <alignment vertical="center"/>
    </xf>
    <xf numFmtId="38" fontId="5" fillId="0" borderId="0" xfId="3" applyFont="1" applyAlignment="1">
      <alignment horizontal="center" vertical="center"/>
    </xf>
    <xf numFmtId="38" fontId="5" fillId="0" borderId="0" xfId="3" applyFont="1" applyFill="1" applyBorder="1" applyAlignment="1">
      <alignment horizontal="center" vertical="center"/>
    </xf>
    <xf numFmtId="38" fontId="5" fillId="0" borderId="0" xfId="3" applyFont="1" applyFill="1" applyBorder="1" applyAlignment="1">
      <alignment horizontal="right" vertical="center"/>
    </xf>
    <xf numFmtId="38" fontId="5" fillId="0" borderId="0" xfId="3" applyFont="1" applyFill="1" applyBorder="1" applyAlignment="1">
      <alignment horizontal="left" vertical="center"/>
    </xf>
    <xf numFmtId="38" fontId="5" fillId="0" borderId="31" xfId="3" applyFont="1" applyFill="1" applyBorder="1" applyAlignment="1">
      <alignment vertical="center"/>
    </xf>
    <xf numFmtId="38" fontId="5" fillId="0" borderId="34" xfId="3" applyFont="1" applyFill="1" applyBorder="1" applyAlignment="1">
      <alignment vertical="center"/>
    </xf>
    <xf numFmtId="38" fontId="5" fillId="0" borderId="7" xfId="3" applyFont="1" applyFill="1" applyBorder="1" applyAlignment="1">
      <alignment vertical="center"/>
    </xf>
    <xf numFmtId="38" fontId="5" fillId="0" borderId="36" xfId="3" applyFont="1" applyFill="1" applyBorder="1" applyAlignment="1">
      <alignment horizontal="center" vertical="center"/>
    </xf>
    <xf numFmtId="38" fontId="5" fillId="0" borderId="81" xfId="3" applyFont="1" applyFill="1" applyBorder="1" applyAlignment="1">
      <alignment horizontal="center" vertical="center"/>
    </xf>
    <xf numFmtId="38" fontId="5" fillId="0" borderId="34" xfId="3" applyFont="1" applyFill="1" applyBorder="1" applyAlignment="1">
      <alignment horizontal="center" vertical="center"/>
    </xf>
    <xf numFmtId="38" fontId="5" fillId="0" borderId="7" xfId="3" applyFont="1" applyFill="1" applyBorder="1" applyAlignment="1">
      <alignment horizontal="center" vertical="center"/>
    </xf>
    <xf numFmtId="179" fontId="6" fillId="0" borderId="39" xfId="0" applyNumberFormat="1" applyFont="1" applyBorder="1" applyAlignment="1">
      <alignment horizontal="right" vertical="center"/>
    </xf>
    <xf numFmtId="38" fontId="4" fillId="0" borderId="0" xfId="3" applyFont="1" applyAlignment="1">
      <alignment vertical="center"/>
    </xf>
    <xf numFmtId="38" fontId="4" fillId="0" borderId="0" xfId="3" applyFont="1" applyFill="1" applyAlignment="1">
      <alignment vertical="center"/>
    </xf>
    <xf numFmtId="38" fontId="5" fillId="0" borderId="0" xfId="3" applyFont="1" applyBorder="1" applyAlignment="1">
      <alignment vertical="center"/>
    </xf>
    <xf numFmtId="179" fontId="5" fillId="0" borderId="0" xfId="3" applyNumberFormat="1" applyFont="1" applyFill="1" applyBorder="1" applyAlignment="1">
      <alignment vertical="center"/>
    </xf>
    <xf numFmtId="38" fontId="5" fillId="0" borderId="31" xfId="3" applyFont="1" applyFill="1" applyBorder="1" applyAlignment="1">
      <alignment horizontal="center" vertical="center"/>
    </xf>
    <xf numFmtId="38" fontId="5" fillId="0" borderId="36" xfId="3" applyFont="1" applyFill="1" applyBorder="1" applyAlignment="1">
      <alignment vertical="center"/>
    </xf>
    <xf numFmtId="38" fontId="5" fillId="0" borderId="16" xfId="3" applyFont="1" applyFill="1" applyBorder="1" applyAlignment="1">
      <alignment vertical="center"/>
    </xf>
    <xf numFmtId="38" fontId="5" fillId="0" borderId="19" xfId="3" applyFont="1" applyFill="1" applyBorder="1" applyAlignment="1">
      <alignment vertical="center"/>
    </xf>
    <xf numFmtId="38" fontId="5" fillId="0" borderId="30" xfId="3" applyFont="1" applyFill="1" applyBorder="1" applyAlignment="1">
      <alignment vertical="center"/>
    </xf>
    <xf numFmtId="38" fontId="5" fillId="0" borderId="0" xfId="3" applyFont="1" applyFill="1" applyBorder="1" applyAlignment="1">
      <alignment vertical="center"/>
    </xf>
    <xf numFmtId="38" fontId="4" fillId="0" borderId="0" xfId="3" applyFont="1" applyBorder="1" applyAlignment="1">
      <alignment vertical="center"/>
    </xf>
    <xf numFmtId="38" fontId="12" fillId="0" borderId="0" xfId="3" applyFont="1" applyAlignment="1">
      <alignment vertical="center"/>
    </xf>
    <xf numFmtId="38" fontId="6" fillId="0" borderId="38" xfId="3" applyFont="1" applyBorder="1" applyAlignment="1">
      <alignment horizontal="center" vertical="center"/>
    </xf>
    <xf numFmtId="38" fontId="6" fillId="0" borderId="80" xfId="3" applyFont="1" applyBorder="1" applyAlignment="1">
      <alignment vertical="center"/>
    </xf>
    <xf numFmtId="38" fontId="6" fillId="0" borderId="73" xfId="3" applyFont="1" applyBorder="1" applyAlignment="1">
      <alignment horizontal="center" vertical="center"/>
    </xf>
    <xf numFmtId="38" fontId="6" fillId="0" borderId="74" xfId="3" applyFont="1" applyFill="1" applyBorder="1" applyAlignment="1">
      <alignment horizontal="center" vertical="center"/>
    </xf>
    <xf numFmtId="38" fontId="6" fillId="0" borderId="0" xfId="3" applyFont="1" applyFill="1" applyBorder="1" applyAlignment="1">
      <alignment horizontal="left" vertical="center"/>
    </xf>
    <xf numFmtId="180" fontId="6" fillId="7" borderId="39" xfId="3" applyNumberFormat="1" applyFont="1" applyFill="1" applyBorder="1" applyAlignment="1" applyProtection="1">
      <alignment horizontal="center" vertical="center"/>
      <protection locked="0"/>
    </xf>
    <xf numFmtId="3" fontId="0" fillId="0" borderId="0" xfId="0" applyNumberFormat="1" applyAlignment="1">
      <alignment horizontal="left" vertical="center"/>
    </xf>
    <xf numFmtId="0" fontId="0" fillId="0" borderId="0" xfId="0" applyAlignment="1">
      <alignment horizontal="left" vertical="center"/>
    </xf>
    <xf numFmtId="181" fontId="4" fillId="0" borderId="2" xfId="0" applyNumberFormat="1" applyFont="1" applyBorder="1" applyAlignment="1">
      <alignment horizontal="left" vertical="top" wrapText="1"/>
    </xf>
    <xf numFmtId="5" fontId="4" fillId="0" borderId="2" xfId="0" applyNumberFormat="1" applyFont="1" applyBorder="1" applyAlignment="1">
      <alignment horizontal="left" vertical="top" wrapText="1"/>
    </xf>
    <xf numFmtId="0" fontId="3" fillId="6" borderId="0" xfId="0" applyFont="1" applyFill="1" applyBorder="1" applyAlignment="1">
      <alignment horizontal="distributed" vertical="center" justifyLastLine="1"/>
    </xf>
    <xf numFmtId="0" fontId="3" fillId="6" borderId="0" xfId="0" applyFont="1" applyFill="1" applyBorder="1" applyAlignment="1">
      <alignmen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justifyLastLine="1"/>
    </xf>
    <xf numFmtId="0" fontId="3" fillId="6" borderId="0" xfId="0" applyFont="1" applyFill="1" applyBorder="1" applyAlignment="1">
      <alignment horizontal="center" vertical="center"/>
    </xf>
    <xf numFmtId="38" fontId="10" fillId="0" borderId="0" xfId="3" applyFont="1" applyAlignment="1">
      <alignment vertical="center"/>
    </xf>
    <xf numFmtId="38" fontId="5" fillId="0" borderId="1" xfId="3" applyFont="1" applyFill="1" applyBorder="1" applyAlignment="1">
      <alignment horizontal="center" vertical="center"/>
    </xf>
    <xf numFmtId="38" fontId="5" fillId="0" borderId="3" xfId="3" applyFont="1" applyFill="1" applyBorder="1" applyAlignment="1">
      <alignment vertical="center"/>
    </xf>
    <xf numFmtId="38" fontId="5" fillId="0" borderId="82" xfId="3" applyFont="1" applyFill="1" applyBorder="1" applyAlignment="1">
      <alignment horizontal="center" vertical="center"/>
    </xf>
    <xf numFmtId="38" fontId="5" fillId="0" borderId="45" xfId="3" applyFont="1" applyFill="1" applyBorder="1" applyAlignment="1">
      <alignment vertical="center"/>
    </xf>
    <xf numFmtId="38" fontId="5" fillId="0" borderId="2" xfId="3" applyFont="1" applyFill="1" applyBorder="1" applyAlignment="1">
      <alignment vertical="center"/>
    </xf>
    <xf numFmtId="38" fontId="5" fillId="0" borderId="22" xfId="3" applyFont="1" applyFill="1" applyBorder="1" applyAlignment="1">
      <alignment vertical="center"/>
    </xf>
    <xf numFmtId="38" fontId="5" fillId="0" borderId="52" xfId="3" applyNumberFormat="1" applyFont="1" applyFill="1" applyBorder="1" applyAlignment="1">
      <alignment vertical="center"/>
    </xf>
    <xf numFmtId="0" fontId="4" fillId="0" borderId="37" xfId="0" applyFont="1" applyBorder="1" applyAlignment="1">
      <alignment horizontal="center" vertical="center"/>
    </xf>
    <xf numFmtId="0" fontId="9" fillId="8" borderId="0" xfId="2" applyFont="1" applyFill="1" applyBorder="1" applyAlignment="1" applyProtection="1">
      <alignment horizontal="center" vertical="center"/>
    </xf>
    <xf numFmtId="0" fontId="17" fillId="0" borderId="25" xfId="0" applyFont="1" applyBorder="1" applyAlignment="1">
      <alignment vertical="center" wrapText="1"/>
    </xf>
    <xf numFmtId="0" fontId="3" fillId="10" borderId="0" xfId="0" applyFont="1" applyFill="1" applyBorder="1" applyAlignment="1">
      <alignment vertical="center"/>
    </xf>
    <xf numFmtId="0" fontId="3" fillId="14" borderId="0" xfId="0" applyFont="1" applyFill="1" applyBorder="1" applyAlignment="1">
      <alignment vertical="center"/>
    </xf>
    <xf numFmtId="0" fontId="3" fillId="14" borderId="0" xfId="0" applyFont="1" applyFill="1" applyBorder="1" applyAlignment="1">
      <alignment horizontal="left" vertical="center"/>
    </xf>
    <xf numFmtId="0" fontId="9" fillId="14" borderId="0" xfId="2" applyFont="1" applyFill="1" applyBorder="1" applyAlignment="1" applyProtection="1">
      <alignment horizontal="center" vertical="center"/>
    </xf>
    <xf numFmtId="0" fontId="9" fillId="8" borderId="92" xfId="2" applyFont="1" applyFill="1" applyBorder="1" applyAlignment="1" applyProtection="1">
      <alignment horizontal="center" vertical="center"/>
    </xf>
    <xf numFmtId="0" fontId="3" fillId="8" borderId="0" xfId="0" applyFont="1" applyFill="1" applyBorder="1" applyAlignment="1" applyProtection="1">
      <alignment vertical="center"/>
    </xf>
    <xf numFmtId="0" fontId="3" fillId="8" borderId="92" xfId="0" applyFont="1" applyFill="1" applyBorder="1" applyAlignment="1" applyProtection="1">
      <alignment vertical="center"/>
    </xf>
    <xf numFmtId="0" fontId="3" fillId="8" borderId="82" xfId="0" applyFont="1" applyFill="1" applyBorder="1" applyAlignment="1" applyProtection="1">
      <alignment vertical="center"/>
    </xf>
    <xf numFmtId="0" fontId="3" fillId="8" borderId="87" xfId="0" applyFont="1" applyFill="1" applyBorder="1" applyAlignment="1" applyProtection="1">
      <alignment vertical="center"/>
    </xf>
    <xf numFmtId="0" fontId="9" fillId="10" borderId="88" xfId="2" applyFont="1" applyFill="1" applyBorder="1" applyAlignment="1" applyProtection="1">
      <alignment horizontal="center" vertical="center"/>
    </xf>
    <xf numFmtId="0" fontId="3" fillId="10" borderId="92" xfId="0" applyFont="1" applyFill="1" applyBorder="1" applyAlignment="1">
      <alignment vertical="center"/>
    </xf>
    <xf numFmtId="0" fontId="3" fillId="10" borderId="88" xfId="0" applyFont="1" applyFill="1" applyBorder="1" applyAlignment="1" applyProtection="1">
      <alignment vertical="center"/>
    </xf>
    <xf numFmtId="0" fontId="3" fillId="10" borderId="85" xfId="0" applyFont="1" applyFill="1" applyBorder="1" applyAlignment="1" applyProtection="1">
      <alignment vertical="center"/>
    </xf>
    <xf numFmtId="0" fontId="3" fillId="10" borderId="82" xfId="0" applyFont="1" applyFill="1" applyBorder="1" applyAlignment="1">
      <alignment vertical="center"/>
    </xf>
    <xf numFmtId="0" fontId="3" fillId="10" borderId="87" xfId="0" applyFont="1" applyFill="1" applyBorder="1" applyAlignment="1">
      <alignment vertical="center"/>
    </xf>
    <xf numFmtId="0" fontId="9" fillId="13" borderId="91" xfId="2" applyFont="1" applyFill="1" applyBorder="1" applyAlignment="1" applyProtection="1">
      <alignment vertical="center"/>
    </xf>
    <xf numFmtId="0" fontId="9" fillId="13" borderId="91" xfId="2" applyFont="1" applyFill="1" applyBorder="1" applyAlignment="1" applyProtection="1">
      <alignment horizontal="center" vertical="center"/>
    </xf>
    <xf numFmtId="0" fontId="9" fillId="13" borderId="86" xfId="2" applyFont="1" applyFill="1" applyBorder="1" applyAlignment="1" applyProtection="1">
      <alignment horizontal="center" vertical="center"/>
    </xf>
    <xf numFmtId="0" fontId="9" fillId="10" borderId="92" xfId="2" applyFont="1" applyFill="1" applyBorder="1" applyAlignment="1" applyProtection="1">
      <alignment horizontal="center" vertical="center"/>
    </xf>
    <xf numFmtId="0" fontId="3" fillId="10" borderId="92" xfId="0" applyFont="1" applyFill="1" applyBorder="1" applyAlignment="1" applyProtection="1">
      <alignment vertical="center"/>
    </xf>
    <xf numFmtId="0" fontId="3" fillId="10" borderId="87" xfId="0" applyFont="1" applyFill="1" applyBorder="1" applyAlignment="1" applyProtection="1">
      <alignment vertical="center"/>
    </xf>
    <xf numFmtId="0" fontId="11" fillId="8" borderId="88" xfId="0" applyFont="1" applyFill="1" applyBorder="1" applyAlignment="1">
      <alignment vertical="center"/>
    </xf>
    <xf numFmtId="0" fontId="21" fillId="8" borderId="85" xfId="0" applyFont="1" applyFill="1" applyBorder="1" applyAlignment="1" applyProtection="1">
      <alignment vertical="center"/>
    </xf>
    <xf numFmtId="0" fontId="3" fillId="14" borderId="24" xfId="0" applyFont="1" applyFill="1" applyBorder="1" applyAlignment="1">
      <alignment vertical="center"/>
    </xf>
    <xf numFmtId="0" fontId="3" fillId="6" borderId="91" xfId="0" applyFont="1" applyFill="1" applyBorder="1" applyAlignment="1">
      <alignment vertical="center"/>
    </xf>
    <xf numFmtId="0" fontId="3" fillId="6" borderId="91" xfId="0" applyFont="1" applyFill="1" applyBorder="1" applyAlignment="1">
      <alignment horizontal="center" vertical="center"/>
    </xf>
    <xf numFmtId="0" fontId="3" fillId="14" borderId="91" xfId="0" applyFont="1" applyFill="1" applyBorder="1" applyAlignment="1">
      <alignment vertical="center"/>
    </xf>
    <xf numFmtId="0" fontId="3" fillId="14" borderId="86" xfId="0" applyFont="1" applyFill="1" applyBorder="1" applyAlignment="1">
      <alignment vertical="center"/>
    </xf>
    <xf numFmtId="0" fontId="3" fillId="14" borderId="88" xfId="0" applyFont="1" applyFill="1" applyBorder="1" applyAlignment="1">
      <alignment vertical="center"/>
    </xf>
    <xf numFmtId="0" fontId="3" fillId="14" borderId="92" xfId="0" applyFont="1" applyFill="1" applyBorder="1" applyAlignment="1">
      <alignment vertical="center"/>
    </xf>
    <xf numFmtId="0" fontId="7" fillId="14" borderId="0" xfId="0" applyFont="1" applyFill="1" applyBorder="1" applyAlignment="1">
      <alignment vertical="center"/>
    </xf>
    <xf numFmtId="0" fontId="3" fillId="14" borderId="88" xfId="0" applyFont="1" applyFill="1" applyBorder="1" applyAlignment="1" applyProtection="1">
      <alignment vertical="center"/>
    </xf>
    <xf numFmtId="0" fontId="3" fillId="6" borderId="0" xfId="0" applyFont="1" applyFill="1" applyBorder="1" applyAlignment="1" applyProtection="1">
      <alignment vertical="center"/>
    </xf>
    <xf numFmtId="0" fontId="3" fillId="6" borderId="0" xfId="0" applyFont="1" applyFill="1" applyBorder="1" applyAlignment="1" applyProtection="1">
      <alignment horizontal="center" vertical="center"/>
    </xf>
    <xf numFmtId="0" fontId="3" fillId="14" borderId="0" xfId="0" applyFont="1" applyFill="1" applyBorder="1" applyAlignment="1" applyProtection="1">
      <alignment vertical="center"/>
    </xf>
    <xf numFmtId="0" fontId="3" fillId="14" borderId="0" xfId="0" applyFont="1" applyFill="1" applyBorder="1" applyAlignment="1" applyProtection="1">
      <alignment horizontal="center" vertical="center"/>
    </xf>
    <xf numFmtId="0" fontId="3" fillId="14" borderId="88" xfId="0" applyFont="1" applyFill="1" applyBorder="1" applyAlignment="1">
      <alignment horizontal="distributed" vertical="center" justifyLastLine="1"/>
    </xf>
    <xf numFmtId="0" fontId="3" fillId="14" borderId="92" xfId="0" applyFont="1" applyFill="1" applyBorder="1" applyAlignment="1">
      <alignment horizontal="distributed" vertical="center" justifyLastLine="1"/>
    </xf>
    <xf numFmtId="0" fontId="14" fillId="14" borderId="0" xfId="0" applyFont="1" applyFill="1" applyBorder="1" applyAlignment="1">
      <alignment vertical="center"/>
    </xf>
    <xf numFmtId="0" fontId="6" fillId="14" borderId="0" xfId="0" applyFont="1" applyFill="1" applyBorder="1" applyAlignment="1">
      <alignment vertical="center"/>
    </xf>
    <xf numFmtId="0" fontId="6" fillId="14" borderId="0" xfId="0" applyFont="1" applyFill="1" applyBorder="1" applyAlignment="1">
      <alignment horizontal="left" vertical="center"/>
    </xf>
    <xf numFmtId="0" fontId="3" fillId="14" borderId="85" xfId="0" applyFont="1" applyFill="1" applyBorder="1" applyAlignment="1">
      <alignment vertical="center"/>
    </xf>
    <xf numFmtId="0" fontId="3" fillId="14" borderId="82" xfId="0" applyFont="1" applyFill="1" applyBorder="1" applyAlignment="1">
      <alignment vertical="center"/>
    </xf>
    <xf numFmtId="0" fontId="3" fillId="14" borderId="87" xfId="0" applyFont="1" applyFill="1" applyBorder="1" applyAlignment="1">
      <alignment vertical="center"/>
    </xf>
    <xf numFmtId="0" fontId="12" fillId="14" borderId="0" xfId="0" applyFont="1" applyFill="1" applyBorder="1" applyAlignment="1">
      <alignment vertical="center"/>
    </xf>
    <xf numFmtId="0" fontId="23" fillId="11" borderId="91" xfId="0" applyFont="1" applyFill="1" applyBorder="1" applyAlignment="1">
      <alignment horizontal="left" vertical="center" wrapText="1"/>
    </xf>
    <xf numFmtId="0" fontId="19" fillId="11" borderId="91" xfId="0" applyFont="1" applyFill="1" applyBorder="1" applyAlignment="1">
      <alignment vertical="center"/>
    </xf>
    <xf numFmtId="0" fontId="22" fillId="11" borderId="91" xfId="0" applyFont="1" applyFill="1" applyBorder="1" applyAlignment="1">
      <alignment vertical="center"/>
    </xf>
    <xf numFmtId="0" fontId="19" fillId="11" borderId="86" xfId="0" applyFont="1" applyFill="1" applyBorder="1" applyAlignment="1">
      <alignment vertical="center"/>
    </xf>
    <xf numFmtId="0" fontId="3" fillId="0" borderId="0" xfId="0" applyFont="1" applyAlignment="1">
      <alignment vertical="top"/>
    </xf>
    <xf numFmtId="0" fontId="3" fillId="14" borderId="88" xfId="0" applyFont="1" applyFill="1" applyBorder="1" applyAlignment="1">
      <alignment vertical="top"/>
    </xf>
    <xf numFmtId="0" fontId="3" fillId="6" borderId="0" xfId="0" applyFont="1" applyFill="1" applyBorder="1" applyAlignment="1">
      <alignment vertical="top"/>
    </xf>
    <xf numFmtId="0" fontId="3" fillId="6" borderId="0" xfId="0" applyFont="1" applyFill="1" applyBorder="1" applyAlignment="1">
      <alignment horizontal="center" vertical="top"/>
    </xf>
    <xf numFmtId="0" fontId="3" fillId="14" borderId="92" xfId="0" applyFont="1" applyFill="1" applyBorder="1" applyAlignment="1">
      <alignment vertical="top"/>
    </xf>
    <xf numFmtId="0" fontId="3" fillId="10" borderId="88" xfId="0" applyFont="1" applyFill="1" applyBorder="1" applyAlignment="1">
      <alignment vertical="center"/>
    </xf>
    <xf numFmtId="0" fontId="3" fillId="10" borderId="85" xfId="0" applyFont="1" applyFill="1" applyBorder="1" applyAlignment="1">
      <alignment vertical="center"/>
    </xf>
    <xf numFmtId="0" fontId="19" fillId="15" borderId="88" xfId="0" applyFont="1" applyFill="1" applyBorder="1" applyAlignment="1">
      <alignment vertical="center"/>
    </xf>
    <xf numFmtId="0" fontId="23" fillId="15" borderId="0" xfId="0" applyFont="1" applyFill="1" applyBorder="1" applyAlignment="1">
      <alignment horizontal="left" vertical="center" wrapText="1"/>
    </xf>
    <xf numFmtId="0" fontId="19" fillId="15" borderId="0" xfId="0" applyFont="1" applyFill="1" applyBorder="1" applyAlignment="1">
      <alignment vertical="center"/>
    </xf>
    <xf numFmtId="0" fontId="22" fillId="15" borderId="0" xfId="0" applyFont="1" applyFill="1" applyBorder="1" applyAlignment="1">
      <alignment vertical="center"/>
    </xf>
    <xf numFmtId="0" fontId="19" fillId="15" borderId="92" xfId="0" applyFont="1" applyFill="1" applyBorder="1" applyAlignment="1">
      <alignment vertical="center"/>
    </xf>
    <xf numFmtId="0" fontId="19" fillId="15" borderId="85" xfId="0" applyFont="1" applyFill="1" applyBorder="1" applyAlignment="1">
      <alignment vertical="top"/>
    </xf>
    <xf numFmtId="0" fontId="19" fillId="15" borderId="82" xfId="0" applyFont="1" applyFill="1" applyBorder="1" applyAlignment="1">
      <alignment vertical="top"/>
    </xf>
    <xf numFmtId="0" fontId="19" fillId="15" borderId="87" xfId="0" applyFont="1" applyFill="1" applyBorder="1" applyAlignment="1">
      <alignment vertical="top"/>
    </xf>
    <xf numFmtId="0" fontId="17" fillId="11" borderId="24" xfId="0" applyFont="1" applyFill="1" applyBorder="1" applyAlignment="1">
      <alignment vertical="center"/>
    </xf>
    <xf numFmtId="0" fontId="19" fillId="6" borderId="91" xfId="0" applyFont="1" applyFill="1" applyBorder="1" applyAlignment="1">
      <alignment vertical="center"/>
    </xf>
    <xf numFmtId="0" fontId="19" fillId="6" borderId="0" xfId="0" applyFont="1" applyFill="1" applyBorder="1" applyAlignment="1">
      <alignment vertical="center"/>
    </xf>
    <xf numFmtId="0" fontId="19" fillId="6" borderId="82" xfId="0" applyFont="1" applyFill="1" applyBorder="1" applyAlignment="1">
      <alignment vertical="top"/>
    </xf>
    <xf numFmtId="0" fontId="3" fillId="6" borderId="82" xfId="0" applyFont="1" applyFill="1" applyBorder="1" applyAlignment="1">
      <alignment vertical="center"/>
    </xf>
    <xf numFmtId="0" fontId="3" fillId="14" borderId="95" xfId="0" applyFont="1" applyFill="1" applyBorder="1" applyAlignment="1">
      <alignment vertical="center"/>
    </xf>
    <xf numFmtId="0" fontId="3" fillId="6" borderId="88" xfId="0" applyFont="1" applyFill="1" applyBorder="1" applyAlignment="1">
      <alignment vertical="center"/>
    </xf>
    <xf numFmtId="0" fontId="3" fillId="6" borderId="82" xfId="0" applyFont="1" applyFill="1" applyBorder="1" applyAlignment="1">
      <alignment horizontal="center" vertical="center"/>
    </xf>
    <xf numFmtId="0" fontId="23" fillId="6" borderId="91" xfId="0" applyFont="1" applyFill="1" applyBorder="1" applyAlignment="1">
      <alignment horizontal="left" vertical="center" wrapText="1"/>
    </xf>
    <xf numFmtId="0" fontId="23" fillId="6" borderId="0" xfId="0" applyFont="1" applyFill="1" applyBorder="1" applyAlignment="1">
      <alignment horizontal="left" vertical="center" wrapText="1"/>
    </xf>
    <xf numFmtId="0" fontId="7" fillId="6" borderId="0" xfId="0" applyFont="1" applyFill="1" applyBorder="1" applyAlignment="1">
      <alignment vertical="center"/>
    </xf>
    <xf numFmtId="0" fontId="9" fillId="6" borderId="91" xfId="2" applyFont="1" applyFill="1" applyBorder="1" applyAlignment="1" applyProtection="1">
      <alignment horizontal="center" vertical="center"/>
    </xf>
    <xf numFmtId="0" fontId="9" fillId="6" borderId="0" xfId="2" applyFont="1" applyFill="1" applyBorder="1" applyAlignment="1" applyProtection="1">
      <alignment horizontal="center" vertical="center"/>
    </xf>
    <xf numFmtId="0" fontId="3" fillId="6" borderId="82" xfId="0" applyFont="1" applyFill="1" applyBorder="1" applyAlignment="1" applyProtection="1">
      <alignment vertical="center"/>
    </xf>
    <xf numFmtId="0" fontId="7" fillId="6" borderId="91" xfId="0"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43" xfId="0" applyFont="1" applyFill="1" applyBorder="1" applyAlignment="1">
      <alignment horizontal="center" vertical="center"/>
    </xf>
    <xf numFmtId="0" fontId="13" fillId="6" borderId="38" xfId="0" applyFont="1" applyFill="1" applyBorder="1" applyAlignment="1">
      <alignment horizontal="distributed" vertical="center" justifyLastLine="1"/>
    </xf>
    <xf numFmtId="0" fontId="13" fillId="6" borderId="11" xfId="0" applyFont="1" applyFill="1" applyBorder="1" applyAlignment="1">
      <alignment horizontal="distributed" vertical="center" justifyLastLine="1"/>
    </xf>
    <xf numFmtId="0" fontId="13" fillId="6" borderId="26" xfId="0" applyFont="1" applyFill="1" applyBorder="1" applyAlignment="1">
      <alignment horizontal="distributed" vertical="center" justifyLastLine="1"/>
    </xf>
    <xf numFmtId="38" fontId="3" fillId="6" borderId="1" xfId="0" applyNumberFormat="1" applyFont="1" applyFill="1" applyBorder="1" applyAlignment="1">
      <alignment vertical="center"/>
    </xf>
    <xf numFmtId="38" fontId="4" fillId="6" borderId="48" xfId="0" applyNumberFormat="1" applyFont="1" applyFill="1" applyBorder="1" applyAlignment="1">
      <alignment vertical="center"/>
    </xf>
    <xf numFmtId="0" fontId="3" fillId="6" borderId="92" xfId="0" applyFont="1" applyFill="1" applyBorder="1" applyAlignment="1">
      <alignment vertical="center"/>
    </xf>
    <xf numFmtId="38" fontId="12" fillId="12" borderId="2" xfId="3" applyFont="1" applyFill="1" applyBorder="1" applyAlignment="1" applyProtection="1">
      <alignment vertical="center" shrinkToFit="1"/>
      <protection locked="0"/>
    </xf>
    <xf numFmtId="38" fontId="12" fillId="6" borderId="48" xfId="3" applyFont="1" applyFill="1" applyBorder="1" applyAlignment="1">
      <alignment vertical="center" shrinkToFit="1"/>
    </xf>
    <xf numFmtId="38" fontId="12" fillId="6" borderId="44" xfId="3" applyFont="1" applyFill="1" applyBorder="1" applyAlignment="1" applyProtection="1">
      <alignment vertical="center" shrinkToFit="1"/>
    </xf>
    <xf numFmtId="38" fontId="12" fillId="6" borderId="20" xfId="3" applyFont="1" applyFill="1" applyBorder="1" applyAlignment="1" applyProtection="1">
      <alignment vertical="center" shrinkToFit="1"/>
    </xf>
    <xf numFmtId="38" fontId="12" fillId="2" borderId="43" xfId="3" applyFont="1" applyFill="1" applyBorder="1" applyAlignment="1" applyProtection="1">
      <alignment vertical="center" shrinkToFit="1"/>
      <protection locked="0"/>
    </xf>
    <xf numFmtId="38" fontId="12" fillId="6" borderId="16" xfId="3" applyFont="1" applyFill="1" applyBorder="1" applyAlignment="1" applyProtection="1">
      <alignment vertical="center" shrinkToFit="1"/>
    </xf>
    <xf numFmtId="38" fontId="12" fillId="2" borderId="15" xfId="3" applyFont="1" applyFill="1" applyBorder="1" applyAlignment="1" applyProtection="1">
      <alignment vertical="center" shrinkToFit="1"/>
      <protection locked="0"/>
    </xf>
    <xf numFmtId="38" fontId="12" fillId="2" borderId="16" xfId="3" applyFont="1" applyFill="1" applyBorder="1" applyAlignment="1" applyProtection="1">
      <alignment vertical="center" shrinkToFit="1"/>
      <protection locked="0"/>
    </xf>
    <xf numFmtId="38" fontId="12" fillId="6" borderId="19" xfId="3" applyFont="1" applyFill="1" applyBorder="1" applyAlignment="1" applyProtection="1">
      <alignment vertical="center" shrinkToFit="1"/>
    </xf>
    <xf numFmtId="38" fontId="12" fillId="6" borderId="43" xfId="3" applyFont="1" applyFill="1" applyBorder="1" applyAlignment="1" applyProtection="1">
      <alignment vertical="center" shrinkToFit="1"/>
    </xf>
    <xf numFmtId="38" fontId="12" fillId="0" borderId="5" xfId="3" applyFont="1" applyBorder="1" applyAlignment="1" applyProtection="1">
      <alignment horizontal="right" vertical="center"/>
    </xf>
    <xf numFmtId="38" fontId="12" fillId="2" borderId="83" xfId="3" applyFont="1" applyFill="1" applyBorder="1" applyAlignment="1" applyProtection="1">
      <alignment vertical="center" shrinkToFit="1"/>
      <protection locked="0"/>
    </xf>
    <xf numFmtId="38" fontId="12" fillId="0" borderId="44" xfId="3" applyFont="1" applyFill="1" applyBorder="1" applyAlignment="1" applyProtection="1">
      <alignment horizontal="right" vertical="center" shrinkToFit="1"/>
    </xf>
    <xf numFmtId="38" fontId="12" fillId="6" borderId="47" xfId="3" applyFont="1" applyFill="1" applyBorder="1" applyAlignment="1">
      <alignment vertical="center" shrinkToFit="1"/>
    </xf>
    <xf numFmtId="38" fontId="12" fillId="0" borderId="15" xfId="3" applyFont="1" applyBorder="1" applyAlignment="1" applyProtection="1">
      <alignment horizontal="right" vertical="center"/>
    </xf>
    <xf numFmtId="38" fontId="12" fillId="2" borderId="33" xfId="3" applyFont="1" applyFill="1" applyBorder="1" applyAlignment="1" applyProtection="1">
      <alignment vertical="center" shrinkToFit="1"/>
      <protection locked="0"/>
    </xf>
    <xf numFmtId="38" fontId="12" fillId="6" borderId="14" xfId="3" applyFont="1" applyFill="1" applyBorder="1" applyAlignment="1">
      <alignment vertical="center" shrinkToFit="1"/>
    </xf>
    <xf numFmtId="38" fontId="12" fillId="6" borderId="15" xfId="3" applyFont="1" applyFill="1" applyBorder="1" applyAlignment="1">
      <alignment vertical="center" shrinkToFit="1"/>
    </xf>
    <xf numFmtId="38" fontId="12" fillId="6" borderId="16" xfId="3" applyFont="1" applyFill="1" applyBorder="1" applyAlignment="1">
      <alignment vertical="center" shrinkToFit="1"/>
    </xf>
    <xf numFmtId="38" fontId="12" fillId="0" borderId="18" xfId="3" applyFont="1" applyBorder="1" applyAlignment="1" applyProtection="1">
      <alignment horizontal="right" vertical="center"/>
    </xf>
    <xf numFmtId="38" fontId="12" fillId="6" borderId="42" xfId="3" applyFont="1" applyFill="1" applyBorder="1" applyAlignment="1">
      <alignment vertical="center" shrinkToFit="1"/>
    </xf>
    <xf numFmtId="38" fontId="12" fillId="6" borderId="17" xfId="3" applyFont="1" applyFill="1" applyBorder="1" applyAlignment="1">
      <alignment vertical="center" shrinkToFit="1"/>
    </xf>
    <xf numFmtId="38" fontId="12" fillId="6" borderId="18" xfId="3" applyFont="1" applyFill="1" applyBorder="1" applyAlignment="1">
      <alignment vertical="center" shrinkToFit="1"/>
    </xf>
    <xf numFmtId="38" fontId="12" fillId="6" borderId="19" xfId="3" applyFont="1" applyFill="1" applyBorder="1" applyAlignment="1">
      <alignment vertical="center" shrinkToFit="1"/>
    </xf>
    <xf numFmtId="0" fontId="19" fillId="0" borderId="48" xfId="0" applyFont="1" applyBorder="1" applyAlignment="1">
      <alignment horizontal="center" vertical="center"/>
    </xf>
    <xf numFmtId="0" fontId="3" fillId="6" borderId="15" xfId="0" applyFont="1" applyFill="1" applyBorder="1" applyAlignment="1">
      <alignment vertical="center"/>
    </xf>
    <xf numFmtId="0" fontId="3" fillId="6" borderId="15" xfId="0" applyFont="1" applyFill="1" applyBorder="1" applyAlignment="1">
      <alignment horizontal="center" vertical="center"/>
    </xf>
    <xf numFmtId="0" fontId="3" fillId="6" borderId="96" xfId="0" applyFont="1" applyFill="1" applyBorder="1" applyAlignment="1">
      <alignment horizontal="center" vertical="center"/>
    </xf>
    <xf numFmtId="0" fontId="3" fillId="6" borderId="38" xfId="0" applyFont="1" applyFill="1" applyBorder="1" applyAlignment="1">
      <alignment vertical="center"/>
    </xf>
    <xf numFmtId="0" fontId="3" fillId="6" borderId="11" xfId="0" applyFont="1" applyFill="1" applyBorder="1" applyAlignment="1">
      <alignment vertical="center"/>
    </xf>
    <xf numFmtId="0" fontId="3" fillId="6" borderId="11" xfId="0" applyFont="1" applyFill="1" applyBorder="1" applyAlignment="1">
      <alignment horizontal="center" vertical="center"/>
    </xf>
    <xf numFmtId="0" fontId="3" fillId="6" borderId="39" xfId="0" applyFont="1" applyFill="1" applyBorder="1" applyAlignment="1">
      <alignment horizontal="center" vertical="center"/>
    </xf>
    <xf numFmtId="0" fontId="3" fillId="6" borderId="15" xfId="0" applyFont="1" applyFill="1" applyBorder="1" applyAlignment="1" applyProtection="1">
      <alignment vertical="center"/>
    </xf>
    <xf numFmtId="0" fontId="3" fillId="6" borderId="15" xfId="0" applyFont="1" applyFill="1" applyBorder="1" applyAlignment="1" applyProtection="1">
      <alignment horizontal="center" vertical="center" shrinkToFit="1"/>
    </xf>
    <xf numFmtId="0" fontId="3" fillId="6" borderId="16" xfId="0" applyFont="1" applyFill="1" applyBorder="1" applyAlignment="1" applyProtection="1">
      <alignment horizontal="center" vertical="center" shrinkToFit="1"/>
    </xf>
    <xf numFmtId="0" fontId="3" fillId="6" borderId="16" xfId="0" applyFont="1" applyFill="1" applyBorder="1" applyAlignment="1">
      <alignment horizontal="center" vertical="center"/>
    </xf>
    <xf numFmtId="0" fontId="3" fillId="6" borderId="69" xfId="0" applyFont="1" applyFill="1" applyBorder="1" applyAlignment="1">
      <alignment horizontal="center" vertical="center"/>
    </xf>
    <xf numFmtId="0" fontId="4" fillId="0" borderId="49" xfId="0" applyFont="1" applyBorder="1" applyAlignment="1">
      <alignment horizontal="center" vertical="center"/>
    </xf>
    <xf numFmtId="182" fontId="12" fillId="2" borderId="12" xfId="0" applyNumberFormat="1" applyFont="1" applyFill="1" applyBorder="1" applyAlignment="1" applyProtection="1">
      <alignment vertical="center" shrinkToFit="1"/>
      <protection locked="0"/>
    </xf>
    <xf numFmtId="182" fontId="12" fillId="2" borderId="14" xfId="0" applyNumberFormat="1" applyFont="1" applyFill="1" applyBorder="1" applyAlignment="1" applyProtection="1">
      <alignment vertical="center" shrinkToFit="1"/>
      <protection locked="0"/>
    </xf>
    <xf numFmtId="182" fontId="12" fillId="2" borderId="17" xfId="0" applyNumberFormat="1" applyFont="1" applyFill="1" applyBorder="1" applyAlignment="1" applyProtection="1">
      <alignment vertical="center" shrinkToFit="1"/>
      <protection locked="0"/>
    </xf>
    <xf numFmtId="0" fontId="19" fillId="14" borderId="0" xfId="0" applyFont="1" applyFill="1" applyBorder="1" applyAlignment="1">
      <alignment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43" xfId="0" applyFont="1" applyFill="1" applyBorder="1" applyAlignment="1">
      <alignment horizontal="center" vertical="center"/>
    </xf>
    <xf numFmtId="0" fontId="11" fillId="6" borderId="38" xfId="0" applyFont="1" applyFill="1" applyBorder="1" applyAlignment="1">
      <alignment horizontal="distributed" vertical="center" justifyLastLine="1"/>
    </xf>
    <xf numFmtId="0" fontId="11" fillId="6" borderId="11" xfId="0" applyFont="1" applyFill="1" applyBorder="1" applyAlignment="1">
      <alignment horizontal="distributed" vertical="center" justifyLastLine="1"/>
    </xf>
    <xf numFmtId="0" fontId="11" fillId="6" borderId="26" xfId="0" applyFont="1" applyFill="1" applyBorder="1" applyAlignment="1">
      <alignment horizontal="distributed" vertical="center" justifyLastLine="1"/>
    </xf>
    <xf numFmtId="38" fontId="3" fillId="0" borderId="12" xfId="3" applyFont="1" applyBorder="1" applyAlignment="1">
      <alignment horizontal="right" vertical="center"/>
    </xf>
    <xf numFmtId="38" fontId="3" fillId="0" borderId="13" xfId="3" applyFont="1" applyBorder="1" applyAlignment="1">
      <alignment horizontal="right" vertical="center"/>
    </xf>
    <xf numFmtId="38" fontId="3" fillId="0" borderId="97" xfId="3" applyFont="1" applyBorder="1" applyAlignment="1">
      <alignment horizontal="right" vertical="center"/>
    </xf>
    <xf numFmtId="38" fontId="3" fillId="0" borderId="83" xfId="3" applyFont="1" applyBorder="1" applyAlignment="1">
      <alignment horizontal="right" vertical="center"/>
    </xf>
    <xf numFmtId="38" fontId="4" fillId="0" borderId="49" xfId="3" applyFont="1" applyBorder="1" applyAlignment="1">
      <alignment horizontal="right" vertical="center"/>
    </xf>
    <xf numFmtId="38" fontId="3" fillId="0" borderId="3" xfId="3" applyFont="1" applyBorder="1" applyAlignment="1">
      <alignment horizontal="right" vertical="center"/>
    </xf>
    <xf numFmtId="38" fontId="3" fillId="0" borderId="22" xfId="3" applyFont="1" applyBorder="1" applyAlignment="1">
      <alignment horizontal="right" vertical="center"/>
    </xf>
    <xf numFmtId="0" fontId="6" fillId="8" borderId="88" xfId="0" applyFont="1" applyFill="1" applyBorder="1" applyAlignment="1">
      <alignment vertical="center"/>
    </xf>
    <xf numFmtId="0" fontId="28" fillId="13" borderId="24" xfId="0" applyFont="1" applyFill="1" applyBorder="1" applyAlignment="1">
      <alignment vertical="center"/>
    </xf>
    <xf numFmtId="38" fontId="12" fillId="12" borderId="82" xfId="3" applyFont="1" applyFill="1" applyBorder="1" applyAlignment="1" applyProtection="1">
      <alignment vertical="center" shrinkToFit="1"/>
      <protection locked="0"/>
    </xf>
    <xf numFmtId="38" fontId="12" fillId="6" borderId="3" xfId="3" applyFont="1" applyFill="1" applyBorder="1" applyAlignment="1" applyProtection="1">
      <alignment vertical="center" shrinkToFit="1"/>
    </xf>
    <xf numFmtId="38" fontId="12" fillId="6" borderId="3" xfId="3" applyFont="1" applyFill="1" applyBorder="1" applyAlignment="1" applyProtection="1">
      <alignment vertical="center" shrinkToFit="1"/>
      <protection locked="0"/>
    </xf>
    <xf numFmtId="38" fontId="12" fillId="0" borderId="2" xfId="3" applyFont="1" applyBorder="1" applyAlignment="1" applyProtection="1">
      <alignment horizontal="right" vertical="center"/>
    </xf>
    <xf numFmtId="38" fontId="12" fillId="0" borderId="87" xfId="3" applyFont="1" applyFill="1" applyBorder="1" applyAlignment="1" applyProtection="1">
      <alignment horizontal="right" vertical="center" shrinkToFit="1"/>
    </xf>
    <xf numFmtId="38" fontId="12" fillId="6" borderId="82" xfId="3" applyFont="1" applyFill="1" applyBorder="1" applyAlignment="1" applyProtection="1">
      <alignment vertical="center" shrinkToFit="1"/>
    </xf>
    <xf numFmtId="38" fontId="12" fillId="6" borderId="2" xfId="3" applyFont="1" applyFill="1" applyBorder="1" applyAlignment="1" applyProtection="1">
      <alignment vertical="center" shrinkToFit="1"/>
    </xf>
    <xf numFmtId="38" fontId="12" fillId="0" borderId="48" xfId="3" applyFont="1" applyBorder="1" applyAlignment="1">
      <alignment vertical="center" shrinkToFit="1"/>
    </xf>
    <xf numFmtId="38" fontId="12" fillId="0" borderId="9" xfId="3" applyFont="1" applyBorder="1" applyAlignment="1">
      <alignment horizontal="right" vertical="center" shrinkToFit="1"/>
    </xf>
    <xf numFmtId="38" fontId="12" fillId="0" borderId="8" xfId="3" applyFont="1" applyBorder="1" applyAlignment="1">
      <alignment horizontal="right" vertical="center" shrinkToFit="1"/>
    </xf>
    <xf numFmtId="38" fontId="12" fillId="0" borderId="6" xfId="3" applyFont="1" applyBorder="1" applyAlignment="1">
      <alignment horizontal="right" vertical="center" shrinkToFit="1"/>
    </xf>
    <xf numFmtId="0" fontId="12" fillId="12" borderId="1" xfId="0" applyFont="1" applyFill="1" applyBorder="1" applyAlignment="1" applyProtection="1">
      <alignment vertical="center" wrapText="1"/>
      <protection locked="0"/>
    </xf>
    <xf numFmtId="0" fontId="29" fillId="12" borderId="85" xfId="0" applyFont="1" applyFill="1" applyBorder="1" applyAlignment="1" applyProtection="1">
      <alignment horizontal="center" vertical="center" wrapText="1"/>
      <protection locked="0"/>
    </xf>
    <xf numFmtId="0" fontId="12" fillId="0" borderId="0" xfId="0" applyFont="1" applyBorder="1" applyAlignment="1">
      <alignment horizontal="left" vertical="center"/>
    </xf>
    <xf numFmtId="0" fontId="19" fillId="0" borderId="0" xfId="0" applyFont="1" applyBorder="1" applyAlignment="1">
      <alignment vertical="center"/>
    </xf>
    <xf numFmtId="0" fontId="3" fillId="0" borderId="0" xfId="0" applyFont="1" applyBorder="1" applyAlignment="1">
      <alignment vertical="center"/>
    </xf>
    <xf numFmtId="0" fontId="19" fillId="0" borderId="0" xfId="0" applyFont="1" applyBorder="1" applyAlignment="1">
      <alignment horizontal="left" vertical="center"/>
    </xf>
    <xf numFmtId="38" fontId="3" fillId="0" borderId="23" xfId="3" applyFont="1" applyBorder="1" applyAlignment="1">
      <alignment horizontal="right" vertical="center"/>
    </xf>
    <xf numFmtId="0" fontId="9" fillId="13" borderId="0" xfId="2" applyFont="1" applyFill="1" applyBorder="1" applyAlignment="1" applyProtection="1">
      <alignment horizontal="center" vertical="center"/>
    </xf>
    <xf numFmtId="178" fontId="12" fillId="12" borderId="3" xfId="3" applyNumberFormat="1" applyFont="1" applyFill="1" applyBorder="1" applyAlignment="1" applyProtection="1">
      <alignment vertical="center" shrinkToFit="1"/>
      <protection locked="0"/>
    </xf>
    <xf numFmtId="38" fontId="12" fillId="6" borderId="43" xfId="3" applyFont="1" applyFill="1" applyBorder="1" applyAlignment="1" applyProtection="1">
      <alignment vertical="center" shrinkToFit="1"/>
      <protection locked="0"/>
    </xf>
    <xf numFmtId="0" fontId="3" fillId="0" borderId="5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54" xfId="0" applyFont="1" applyFill="1" applyBorder="1" applyAlignment="1">
      <alignment horizontal="center" vertical="center"/>
    </xf>
    <xf numFmtId="0" fontId="19" fillId="0" borderId="15" xfId="0" applyFont="1" applyBorder="1" applyAlignment="1">
      <alignment horizontal="center" vertical="center"/>
    </xf>
    <xf numFmtId="0" fontId="19" fillId="0" borderId="20" xfId="0" applyFont="1" applyBorder="1" applyAlignment="1">
      <alignment horizontal="center" vertical="center"/>
    </xf>
    <xf numFmtId="0" fontId="19" fillId="0" borderId="18" xfId="0" applyFont="1" applyBorder="1" applyAlignment="1">
      <alignment horizontal="center" vertical="center"/>
    </xf>
    <xf numFmtId="0" fontId="16" fillId="14" borderId="0" xfId="0" applyFont="1" applyFill="1" applyBorder="1" applyAlignment="1">
      <alignment vertical="center"/>
    </xf>
    <xf numFmtId="0" fontId="19" fillId="14" borderId="0" xfId="0" applyFont="1" applyFill="1" applyBorder="1" applyAlignment="1" applyProtection="1">
      <alignment vertical="center"/>
    </xf>
    <xf numFmtId="0" fontId="6" fillId="0" borderId="0" xfId="0" applyFont="1" applyBorder="1" applyAlignment="1">
      <alignment horizontal="center" vertical="center"/>
    </xf>
    <xf numFmtId="179" fontId="6" fillId="0" borderId="0" xfId="0" applyNumberFormat="1" applyFont="1" applyBorder="1" applyAlignment="1">
      <alignment horizontal="right" vertical="center"/>
    </xf>
    <xf numFmtId="0" fontId="6" fillId="0" borderId="0" xfId="0" applyFont="1" applyBorder="1" applyAlignment="1">
      <alignment horizontal="center" vertical="center" shrinkToFit="1"/>
    </xf>
    <xf numFmtId="0" fontId="6" fillId="5" borderId="0" xfId="0" applyFont="1" applyFill="1" applyBorder="1" applyAlignment="1">
      <alignment horizontal="center" vertical="center"/>
    </xf>
    <xf numFmtId="0" fontId="6" fillId="3" borderId="0" xfId="0" applyFont="1" applyFill="1" applyBorder="1" applyAlignment="1">
      <alignment horizontal="center" vertical="center"/>
    </xf>
    <xf numFmtId="0" fontId="5" fillId="6" borderId="0" xfId="0" applyFont="1" applyFill="1"/>
    <xf numFmtId="0" fontId="6" fillId="6" borderId="0" xfId="0" applyFont="1" applyFill="1" applyBorder="1" applyAlignment="1">
      <alignment horizontal="center" vertical="center"/>
    </xf>
    <xf numFmtId="177" fontId="6" fillId="6" borderId="0" xfId="0" applyNumberFormat="1" applyFont="1" applyFill="1" applyBorder="1" applyAlignment="1">
      <alignment horizontal="right" vertical="center"/>
    </xf>
    <xf numFmtId="0" fontId="5" fillId="6" borderId="0" xfId="0" applyFont="1" applyFill="1" applyBorder="1" applyAlignment="1">
      <alignment horizontal="center" vertical="center"/>
    </xf>
    <xf numFmtId="0" fontId="6" fillId="6" borderId="0" xfId="0" applyFont="1" applyFill="1" applyBorder="1" applyAlignment="1">
      <alignment horizontal="center" vertical="center" shrinkToFit="1"/>
    </xf>
    <xf numFmtId="0" fontId="5" fillId="6" borderId="0" xfId="0" applyFont="1" applyFill="1" applyAlignment="1">
      <alignment horizontal="right" vertical="center"/>
    </xf>
    <xf numFmtId="38" fontId="12" fillId="0" borderId="97" xfId="3" applyFont="1" applyFill="1" applyBorder="1" applyAlignment="1" applyProtection="1">
      <alignment horizontal="right" vertical="center" shrinkToFit="1"/>
    </xf>
    <xf numFmtId="0" fontId="0" fillId="0" borderId="25" xfId="0" applyBorder="1" applyAlignment="1">
      <alignment horizontal="distributed" vertical="center"/>
    </xf>
    <xf numFmtId="0" fontId="0" fillId="0" borderId="27" xfId="0" applyBorder="1" applyAlignment="1">
      <alignment horizontal="distributed" vertical="center"/>
    </xf>
    <xf numFmtId="0" fontId="11" fillId="6" borderId="46" xfId="0" applyFont="1" applyFill="1" applyBorder="1" applyAlignment="1">
      <alignment horizontal="center" vertical="center" justifyLastLine="1"/>
    </xf>
    <xf numFmtId="0" fontId="11" fillId="6" borderId="48" xfId="0" applyFont="1" applyFill="1" applyBorder="1" applyAlignment="1">
      <alignment horizontal="center" vertical="center" justifyLastLine="1"/>
    </xf>
    <xf numFmtId="0" fontId="19" fillId="14" borderId="82" xfId="0" applyFont="1" applyFill="1" applyBorder="1" applyAlignment="1">
      <alignment horizontal="left" vertical="center" wrapText="1"/>
    </xf>
    <xf numFmtId="0" fontId="11" fillId="0" borderId="99" xfId="0" applyFont="1" applyBorder="1" applyAlignment="1">
      <alignment horizontal="center" vertical="center" wrapText="1" justifyLastLine="1"/>
    </xf>
    <xf numFmtId="0" fontId="11" fillId="0" borderId="18" xfId="0" applyFont="1" applyBorder="1" applyAlignment="1">
      <alignment horizontal="center" vertical="center" wrapText="1" justifyLastLine="1"/>
    </xf>
    <xf numFmtId="0" fontId="15" fillId="6" borderId="98" xfId="0" applyFont="1" applyFill="1" applyBorder="1" applyAlignment="1">
      <alignment horizontal="left" vertical="center" wrapText="1" justifyLastLine="1"/>
    </xf>
    <xf numFmtId="0" fontId="15" fillId="6" borderId="45" xfId="0" applyFont="1" applyFill="1" applyBorder="1" applyAlignment="1">
      <alignment horizontal="left" vertical="center" wrapText="1" justifyLastLine="1"/>
    </xf>
    <xf numFmtId="0" fontId="15" fillId="6" borderId="5" xfId="0" applyFont="1" applyFill="1" applyBorder="1" applyAlignment="1">
      <alignment horizontal="left" vertical="center" wrapText="1" justifyLastLine="1"/>
    </xf>
    <xf numFmtId="0" fontId="15" fillId="6" borderId="2" xfId="0" applyFont="1" applyFill="1" applyBorder="1" applyAlignment="1">
      <alignment horizontal="left" vertical="center" wrapText="1" justifyLastLine="1"/>
    </xf>
    <xf numFmtId="0" fontId="11" fillId="0" borderId="5" xfId="0" applyFont="1" applyBorder="1" applyAlignment="1">
      <alignment horizontal="center" vertical="center" wrapText="1" justifyLastLine="1"/>
    </xf>
    <xf numFmtId="0" fontId="11" fillId="0" borderId="2" xfId="0" applyFont="1" applyBorder="1" applyAlignment="1">
      <alignment horizontal="center" vertical="center" wrapText="1" justifyLastLine="1"/>
    </xf>
    <xf numFmtId="0" fontId="11" fillId="0" borderId="43" xfId="0" applyFont="1" applyBorder="1" applyAlignment="1">
      <alignment horizontal="center" vertical="center" wrapText="1" justifyLastLine="1"/>
    </xf>
    <xf numFmtId="0" fontId="11" fillId="0" borderId="3" xfId="0" applyFont="1" applyBorder="1" applyAlignment="1">
      <alignment horizontal="center" vertical="center" wrapText="1" justifyLastLine="1"/>
    </xf>
    <xf numFmtId="0" fontId="11" fillId="6" borderId="5" xfId="0" applyFont="1" applyFill="1" applyBorder="1" applyAlignment="1">
      <alignment horizontal="left" vertical="center" wrapText="1" justifyLastLine="1"/>
    </xf>
    <xf numFmtId="0" fontId="11" fillId="6" borderId="2" xfId="0" applyFont="1" applyFill="1" applyBorder="1" applyAlignment="1">
      <alignment horizontal="left" vertical="center" wrapText="1" justifyLastLine="1"/>
    </xf>
    <xf numFmtId="0" fontId="11" fillId="0" borderId="24" xfId="0" applyFont="1" applyBorder="1" applyAlignment="1">
      <alignment horizontal="center" vertical="center" wrapText="1"/>
    </xf>
    <xf numFmtId="0" fontId="11" fillId="0" borderId="85" xfId="0" applyFont="1" applyBorder="1" applyAlignment="1">
      <alignment horizontal="center" vertical="center"/>
    </xf>
    <xf numFmtId="0" fontId="0" fillId="0" borderId="46" xfId="0" applyFont="1" applyBorder="1" applyAlignment="1">
      <alignment horizontal="center" vertical="center" wrapText="1"/>
    </xf>
    <xf numFmtId="0" fontId="0" fillId="0" borderId="48" xfId="0" applyFont="1" applyBorder="1" applyAlignment="1">
      <alignment horizontal="center" vertical="center"/>
    </xf>
    <xf numFmtId="0" fontId="11" fillId="0" borderId="46"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24" xfId="0" applyFont="1" applyBorder="1" applyAlignment="1">
      <alignment horizontal="center" vertical="center" wrapText="1" justifyLastLine="1"/>
    </xf>
    <xf numFmtId="0" fontId="11" fillId="0" borderId="85" xfId="0" applyFont="1" applyBorder="1" applyAlignment="1">
      <alignment horizontal="center" vertical="center" wrapText="1" justifyLastLine="1"/>
    </xf>
    <xf numFmtId="0" fontId="11" fillId="0" borderId="4" xfId="0" applyFont="1" applyBorder="1" applyAlignment="1">
      <alignment horizontal="center" vertical="center" wrapText="1" justifyLastLine="1"/>
    </xf>
    <xf numFmtId="0" fontId="11" fillId="0" borderId="1" xfId="0" applyFont="1" applyBorder="1" applyAlignment="1">
      <alignment horizontal="center" vertical="center" justifyLastLine="1"/>
    </xf>
    <xf numFmtId="179" fontId="25" fillId="0" borderId="89" xfId="0" applyNumberFormat="1" applyFont="1" applyFill="1" applyBorder="1" applyAlignment="1">
      <alignment horizontal="center" vertical="center"/>
    </xf>
    <xf numFmtId="179" fontId="25" fillId="0" borderId="90" xfId="0" applyNumberFormat="1" applyFont="1" applyFill="1" applyBorder="1" applyAlignment="1">
      <alignment horizontal="center" vertical="center"/>
    </xf>
    <xf numFmtId="0" fontId="11" fillId="0" borderId="84" xfId="0" applyFont="1" applyBorder="1" applyAlignment="1">
      <alignment horizontal="center" vertical="center" wrapText="1" justifyLastLine="1"/>
    </xf>
    <xf numFmtId="0" fontId="11" fillId="0" borderId="22" xfId="0" applyFont="1" applyBorder="1" applyAlignment="1">
      <alignment horizontal="center" vertical="center" wrapText="1" justifyLastLine="1"/>
    </xf>
    <xf numFmtId="0" fontId="18" fillId="8" borderId="25" xfId="0" applyFont="1" applyFill="1" applyBorder="1" applyAlignment="1">
      <alignment horizontal="center" vertical="center"/>
    </xf>
    <xf numFmtId="0" fontId="18" fillId="8" borderId="27" xfId="0" applyFont="1" applyFill="1" applyBorder="1" applyAlignment="1">
      <alignment horizontal="center" vertical="center"/>
    </xf>
    <xf numFmtId="179" fontId="18" fillId="0" borderId="89" xfId="0" applyNumberFormat="1" applyFont="1" applyFill="1" applyBorder="1" applyAlignment="1">
      <alignment horizontal="center" vertical="center" shrinkToFit="1"/>
    </xf>
    <xf numFmtId="179" fontId="18" fillId="0" borderId="90" xfId="0" applyNumberFormat="1" applyFont="1" applyFill="1" applyBorder="1" applyAlignment="1">
      <alignment horizontal="center" vertical="center" shrinkToFit="1"/>
    </xf>
    <xf numFmtId="0" fontId="14" fillId="0" borderId="46" xfId="0" applyFont="1" applyFill="1" applyBorder="1" applyAlignment="1" applyProtection="1">
      <alignment horizontal="center" vertical="center" wrapText="1"/>
    </xf>
    <xf numFmtId="0" fontId="14" fillId="0" borderId="48" xfId="0" applyFont="1" applyFill="1" applyBorder="1" applyAlignment="1" applyProtection="1">
      <alignment horizontal="center" vertical="center" wrapText="1"/>
    </xf>
    <xf numFmtId="0" fontId="11" fillId="0" borderId="85" xfId="0" applyFont="1" applyBorder="1" applyAlignment="1">
      <alignment horizontal="center" vertical="center" justifyLastLine="1"/>
    </xf>
    <xf numFmtId="0" fontId="11" fillId="6" borderId="5" xfId="0" applyFont="1" applyFill="1" applyBorder="1" applyAlignment="1">
      <alignment horizontal="center" vertical="center" wrapText="1" justifyLastLine="1"/>
    </xf>
    <xf numFmtId="0" fontId="11" fillId="6" borderId="2" xfId="0" applyFont="1" applyFill="1" applyBorder="1" applyAlignment="1">
      <alignment horizontal="center" vertical="center" wrapText="1" justifyLastLine="1"/>
    </xf>
    <xf numFmtId="0" fontId="20" fillId="3" borderId="93" xfId="0" applyFont="1" applyFill="1" applyBorder="1" applyAlignment="1">
      <alignment horizontal="center" vertical="center" shrinkToFit="1"/>
    </xf>
    <xf numFmtId="0" fontId="20" fillId="3" borderId="94" xfId="0" applyFont="1" applyFill="1" applyBorder="1" applyAlignment="1">
      <alignment horizontal="center" vertical="center" shrinkToFit="1"/>
    </xf>
    <xf numFmtId="0" fontId="24" fillId="14" borderId="82"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42" xfId="0" applyFont="1" applyBorder="1" applyAlignment="1">
      <alignment horizontal="center" vertical="center"/>
    </xf>
    <xf numFmtId="0" fontId="6" fillId="9" borderId="24" xfId="0" applyFont="1" applyFill="1" applyBorder="1" applyAlignment="1">
      <alignment horizontal="center" vertical="center"/>
    </xf>
    <xf numFmtId="0" fontId="6" fillId="9" borderId="86" xfId="0" applyFont="1" applyFill="1" applyBorder="1" applyAlignment="1">
      <alignment horizontal="center" vertical="center"/>
    </xf>
    <xf numFmtId="0" fontId="6" fillId="9" borderId="24" xfId="0" applyFont="1" applyFill="1" applyBorder="1" applyAlignment="1">
      <alignment vertical="center"/>
    </xf>
    <xf numFmtId="0" fontId="6" fillId="9" borderId="91" xfId="0" applyFont="1" applyFill="1" applyBorder="1" applyAlignment="1">
      <alignment vertical="center"/>
    </xf>
    <xf numFmtId="0" fontId="6" fillId="9" borderId="86" xfId="0" applyFont="1" applyFill="1" applyBorder="1" applyAlignment="1">
      <alignment vertical="center"/>
    </xf>
    <xf numFmtId="0" fontId="13" fillId="14" borderId="0" xfId="0" applyFont="1" applyFill="1" applyBorder="1" applyAlignment="1">
      <alignment horizontal="center" vertical="center" wrapText="1"/>
    </xf>
    <xf numFmtId="0" fontId="11" fillId="0" borderId="24" xfId="0" applyFont="1" applyBorder="1" applyAlignment="1" applyProtection="1">
      <alignment horizontal="center" vertical="center" wrapText="1"/>
    </xf>
    <xf numFmtId="0" fontId="11" fillId="0" borderId="85" xfId="0" applyFont="1" applyBorder="1" applyAlignment="1" applyProtection="1">
      <alignment horizontal="center" vertical="center" wrapText="1"/>
    </xf>
    <xf numFmtId="0" fontId="11" fillId="6" borderId="46" xfId="0" applyFont="1" applyFill="1" applyBorder="1" applyAlignment="1" applyProtection="1">
      <alignment horizontal="center" vertical="center"/>
    </xf>
    <xf numFmtId="0" fontId="11" fillId="6" borderId="48" xfId="0" applyFont="1" applyFill="1" applyBorder="1" applyAlignment="1" applyProtection="1">
      <alignment horizontal="center" vertical="center"/>
    </xf>
    <xf numFmtId="10" fontId="4" fillId="0" borderId="70"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4" fillId="0" borderId="46" xfId="0" applyFont="1" applyBorder="1" applyAlignment="1">
      <alignment horizontal="center" vertical="center"/>
    </xf>
    <xf numFmtId="0" fontId="4" fillId="0" borderId="68" xfId="0" applyFont="1" applyBorder="1" applyAlignment="1">
      <alignment horizontal="center" vertical="center"/>
    </xf>
    <xf numFmtId="0" fontId="4" fillId="0" borderId="48" xfId="0" applyFont="1" applyBorder="1" applyAlignment="1">
      <alignment horizontal="center" vertical="center"/>
    </xf>
    <xf numFmtId="0" fontId="4" fillId="0" borderId="46"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48" xfId="0" applyFont="1" applyBorder="1" applyAlignment="1">
      <alignment horizontal="center" vertical="center" wrapText="1"/>
    </xf>
    <xf numFmtId="0" fontId="6" fillId="0" borderId="53"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4" fillId="0" borderId="28" xfId="0" applyFont="1" applyBorder="1" applyAlignment="1">
      <alignment horizontal="left" vertical="center" wrapText="1" shrinkToFit="1"/>
    </xf>
    <xf numFmtId="0" fontId="4" fillId="0" borderId="29" xfId="0" applyFont="1" applyBorder="1" applyAlignment="1">
      <alignment horizontal="left" vertical="center" shrinkToFit="1"/>
    </xf>
    <xf numFmtId="38" fontId="6" fillId="0" borderId="30" xfId="0" applyNumberFormat="1" applyFont="1" applyBorder="1" applyAlignment="1">
      <alignment horizontal="right" vertical="center" shrinkToFit="1"/>
    </xf>
    <xf numFmtId="0" fontId="6" fillId="0" borderId="29" xfId="0" applyFont="1" applyBorder="1" applyAlignment="1">
      <alignment horizontal="right" vertical="center" shrinkToFit="1"/>
    </xf>
    <xf numFmtId="0" fontId="6" fillId="0" borderId="31" xfId="0" applyFont="1" applyBorder="1" applyAlignment="1">
      <alignment horizontal="right" vertical="center" shrinkToFit="1"/>
    </xf>
    <xf numFmtId="38" fontId="6" fillId="0" borderId="60" xfId="3" applyFont="1" applyBorder="1" applyAlignment="1">
      <alignment horizontal="right" vertical="center" shrinkToFit="1"/>
    </xf>
    <xf numFmtId="38" fontId="6" fillId="0" borderId="61" xfId="3" applyFont="1" applyBorder="1" applyAlignment="1">
      <alignment horizontal="right" vertical="center" shrinkToFit="1"/>
    </xf>
    <xf numFmtId="0" fontId="4" fillId="0" borderId="9" xfId="0" applyFont="1" applyBorder="1" applyAlignment="1">
      <alignment horizontal="left" vertical="center" wrapText="1" shrinkToFit="1"/>
    </xf>
    <xf numFmtId="0" fontId="4" fillId="0" borderId="33" xfId="0" applyFont="1" applyBorder="1" applyAlignment="1">
      <alignment horizontal="left" vertical="center" shrinkToFit="1"/>
    </xf>
    <xf numFmtId="38" fontId="6" fillId="0" borderId="16" xfId="0" applyNumberFormat="1" applyFont="1" applyBorder="1" applyAlignment="1">
      <alignment horizontal="right" vertical="center" shrinkToFit="1"/>
    </xf>
    <xf numFmtId="0" fontId="6" fillId="0" borderId="33" xfId="0" applyFont="1" applyBorder="1" applyAlignment="1">
      <alignment horizontal="right" vertical="center" shrinkToFit="1"/>
    </xf>
    <xf numFmtId="0" fontId="6" fillId="0" borderId="34" xfId="0" applyFont="1" applyBorder="1" applyAlignment="1">
      <alignment horizontal="right" vertical="center" shrinkToFit="1"/>
    </xf>
    <xf numFmtId="38" fontId="6" fillId="0" borderId="62" xfId="3" applyFont="1" applyBorder="1" applyAlignment="1">
      <alignment horizontal="right" vertical="center" shrinkToFit="1"/>
    </xf>
    <xf numFmtId="38" fontId="6" fillId="0" borderId="63" xfId="3" applyFont="1" applyBorder="1" applyAlignment="1">
      <alignment horizontal="right" vertical="center" shrinkToFit="1"/>
    </xf>
    <xf numFmtId="0" fontId="4" fillId="0" borderId="6" xfId="0" applyFont="1" applyBorder="1" applyAlignment="1">
      <alignment horizontal="left" vertical="center" wrapText="1" shrinkToFit="1"/>
    </xf>
    <xf numFmtId="0" fontId="4" fillId="0" borderId="36" xfId="0" applyFont="1" applyBorder="1" applyAlignment="1">
      <alignment horizontal="left" vertical="center" shrinkToFit="1"/>
    </xf>
    <xf numFmtId="38" fontId="6" fillId="0" borderId="19" xfId="0" applyNumberFormat="1" applyFont="1" applyBorder="1" applyAlignment="1">
      <alignment horizontal="right" vertical="center" shrinkToFit="1"/>
    </xf>
    <xf numFmtId="0" fontId="6" fillId="0" borderId="36" xfId="0" applyFont="1" applyBorder="1" applyAlignment="1">
      <alignment horizontal="right" vertical="center" shrinkToFit="1"/>
    </xf>
    <xf numFmtId="0" fontId="6" fillId="0" borderId="7" xfId="0" applyFont="1" applyBorder="1" applyAlignment="1">
      <alignment horizontal="right" vertical="center" shrinkToFit="1"/>
    </xf>
    <xf numFmtId="38" fontId="6" fillId="0" borderId="64" xfId="3" applyFont="1" applyBorder="1" applyAlignment="1">
      <alignment horizontal="right" vertical="center" shrinkToFit="1"/>
    </xf>
    <xf numFmtId="38" fontId="6" fillId="0" borderId="65" xfId="3" applyFont="1" applyBorder="1" applyAlignment="1">
      <alignment horizontal="right" vertical="center" shrinkToFit="1"/>
    </xf>
    <xf numFmtId="0" fontId="6" fillId="4" borderId="25" xfId="0" applyFont="1" applyFill="1" applyBorder="1" applyAlignment="1">
      <alignment horizontal="center" vertical="center" shrinkToFit="1"/>
    </xf>
    <xf numFmtId="0" fontId="6" fillId="4" borderId="27"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75" xfId="0" applyFont="1" applyBorder="1" applyAlignment="1">
      <alignment horizontal="center" vertical="center" shrinkToFit="1"/>
    </xf>
    <xf numFmtId="38" fontId="6" fillId="0" borderId="66" xfId="3" applyFont="1" applyBorder="1" applyAlignment="1">
      <alignment horizontal="right" vertical="center" shrinkToFit="1"/>
    </xf>
    <xf numFmtId="38" fontId="6" fillId="0" borderId="67" xfId="3" applyFont="1" applyBorder="1" applyAlignment="1">
      <alignment horizontal="right" vertical="center" shrinkToFit="1"/>
    </xf>
    <xf numFmtId="0" fontId="4" fillId="0" borderId="44" xfId="0" applyFont="1" applyBorder="1" applyAlignment="1">
      <alignment horizontal="left" vertical="top" wrapText="1"/>
    </xf>
    <xf numFmtId="0" fontId="4" fillId="0" borderId="44" xfId="0" applyFont="1" applyBorder="1" applyAlignment="1">
      <alignment horizontal="left" vertical="top"/>
    </xf>
    <xf numFmtId="0" fontId="4" fillId="0" borderId="8" xfId="0" applyFont="1" applyBorder="1" applyAlignment="1">
      <alignment horizontal="left" vertical="top" wrapText="1"/>
    </xf>
    <xf numFmtId="0" fontId="4" fillId="0" borderId="50" xfId="0" applyFont="1" applyBorder="1" applyAlignment="1">
      <alignment horizontal="left" vertical="top" wrapText="1"/>
    </xf>
    <xf numFmtId="0" fontId="4" fillId="0" borderId="70" xfId="0" applyFont="1" applyBorder="1" applyAlignment="1">
      <alignment horizontal="center" vertical="center"/>
    </xf>
    <xf numFmtId="0" fontId="4" fillId="0" borderId="51" xfId="0" applyFont="1" applyBorder="1" applyAlignment="1">
      <alignment horizontal="center" vertical="center"/>
    </xf>
    <xf numFmtId="0" fontId="6" fillId="0" borderId="76" xfId="0" applyFont="1" applyBorder="1" applyAlignment="1">
      <alignment horizontal="center" vertical="center"/>
    </xf>
    <xf numFmtId="0" fontId="6" fillId="0" borderId="48" xfId="0" applyFont="1" applyBorder="1" applyAlignment="1">
      <alignment horizontal="center" vertical="center"/>
    </xf>
    <xf numFmtId="0" fontId="4" fillId="0" borderId="79" xfId="0" applyFont="1" applyBorder="1" applyAlignment="1">
      <alignment horizontal="left" vertical="top" wrapText="1"/>
    </xf>
    <xf numFmtId="0" fontId="4" fillId="0" borderId="1" xfId="0" applyFont="1" applyBorder="1" applyAlignment="1">
      <alignment horizontal="left" vertical="top" wrapText="1"/>
    </xf>
    <xf numFmtId="38" fontId="6" fillId="0" borderId="55" xfId="3" applyFont="1" applyBorder="1" applyAlignment="1">
      <alignment horizontal="center" vertical="center"/>
    </xf>
    <xf numFmtId="38" fontId="6" fillId="0" borderId="73" xfId="3" applyFont="1" applyBorder="1" applyAlignment="1">
      <alignment horizontal="center" vertical="center"/>
    </xf>
    <xf numFmtId="38" fontId="6" fillId="0" borderId="25" xfId="3" applyFont="1" applyBorder="1" applyAlignment="1">
      <alignment horizontal="center" vertical="center"/>
    </xf>
    <xf numFmtId="38" fontId="6" fillId="0" borderId="27" xfId="3" applyFont="1" applyBorder="1" applyAlignment="1">
      <alignment horizontal="center" vertical="center"/>
    </xf>
    <xf numFmtId="176" fontId="6" fillId="7" borderId="25" xfId="3" applyNumberFormat="1" applyFont="1" applyFill="1" applyBorder="1" applyAlignment="1" applyProtection="1">
      <alignment horizontal="right" vertical="center"/>
      <protection locked="0"/>
    </xf>
    <xf numFmtId="176" fontId="6" fillId="7" borderId="27" xfId="3" applyNumberFormat="1" applyFont="1" applyFill="1" applyBorder="1" applyAlignment="1" applyProtection="1">
      <alignment horizontal="right" vertical="center"/>
      <protection locked="0"/>
    </xf>
    <xf numFmtId="176" fontId="6" fillId="8" borderId="25" xfId="3" applyNumberFormat="1" applyFont="1" applyFill="1" applyBorder="1" applyAlignment="1">
      <alignment horizontal="right" vertical="center"/>
    </xf>
    <xf numFmtId="176" fontId="6" fillId="8" borderId="27" xfId="3" applyNumberFormat="1" applyFont="1" applyFill="1" applyBorder="1" applyAlignment="1">
      <alignment horizontal="right" vertical="center"/>
    </xf>
    <xf numFmtId="38" fontId="6" fillId="0" borderId="10" xfId="3" applyFont="1" applyBorder="1" applyAlignment="1">
      <alignment horizontal="center" vertical="center"/>
    </xf>
    <xf numFmtId="176" fontId="6" fillId="7" borderId="26" xfId="3" applyNumberFormat="1" applyFont="1" applyFill="1" applyBorder="1" applyAlignment="1" applyProtection="1">
      <alignment horizontal="right" vertical="center"/>
      <protection locked="0"/>
    </xf>
    <xf numFmtId="38" fontId="6" fillId="0" borderId="38" xfId="3" applyFont="1" applyBorder="1" applyAlignment="1">
      <alignment horizontal="center" vertical="center"/>
    </xf>
    <xf numFmtId="38" fontId="6" fillId="0" borderId="11" xfId="3" applyFont="1" applyBorder="1" applyAlignment="1">
      <alignment horizontal="center" vertical="center"/>
    </xf>
    <xf numFmtId="176" fontId="6" fillId="8" borderId="11" xfId="3" applyNumberFormat="1" applyFont="1" applyFill="1" applyBorder="1" applyAlignment="1">
      <alignment horizontal="right" vertical="center"/>
    </xf>
    <xf numFmtId="176" fontId="6" fillId="8" borderId="39" xfId="3" applyNumberFormat="1" applyFont="1" applyFill="1" applyBorder="1" applyAlignment="1">
      <alignment horizontal="right" vertical="center"/>
    </xf>
  </cellXfs>
  <cellStyles count="4">
    <cellStyle name="パーセント" xfId="1" builtinId="5"/>
    <cellStyle name="ハイパーリンク" xfId="2" builtinId="8"/>
    <cellStyle name="桁区切り" xfId="3" builtinId="6"/>
    <cellStyle name="標準" xfId="0" builtinId="0"/>
  </cellStyles>
  <dxfs count="3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FF0000"/>
      </font>
    </dxf>
    <dxf>
      <font>
        <color rgb="FFFF0000"/>
      </font>
      <fill>
        <patternFill patternType="none">
          <bgColor auto="1"/>
        </patternFill>
      </fill>
    </dxf>
    <dxf>
      <font>
        <color rgb="FFFF0000"/>
      </font>
    </dxf>
    <dxf>
      <font>
        <color rgb="FFFF0000"/>
      </font>
    </dxf>
    <dxf>
      <fill>
        <patternFill>
          <bgColor rgb="FFFF0000"/>
        </patternFill>
      </fill>
    </dxf>
  </dxfs>
  <tableStyles count="0" defaultTableStyle="TableStyleMedium2" defaultPivotStyle="PivotStyleLight16"/>
  <colors>
    <mruColors>
      <color rgb="FFFFFFCC"/>
      <color rgb="FFFFFF99"/>
      <color rgb="FFCC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30906;&#30003;!A1"/><Relationship Id="rId2" Type="http://schemas.openxmlformats.org/officeDocument/2006/relationships/hyperlink" Target="#&#28304;&#27849;&#24500;&#21454;&#31080;!A1"/><Relationship Id="rId1" Type="http://schemas.openxmlformats.org/officeDocument/2006/relationships/hyperlink" Target="#&#35430;&#31639;&#32080;&#26524;&#35443;&#32048;!A1"/><Relationship Id="rId6" Type="http://schemas.openxmlformats.org/officeDocument/2006/relationships/hyperlink" Target="#'&#20844;&#30340;&#24180;&#37329;&#25152;&#24471;&#25563;&#31639;&#34920; '!A1"/><Relationship Id="rId5" Type="http://schemas.openxmlformats.org/officeDocument/2006/relationships/hyperlink" Target="#&#32102;&#19982;&#25152;&#24471;&#25563;&#31639;&#34920;!A1"/><Relationship Id="rId4" Type="http://schemas.openxmlformats.org/officeDocument/2006/relationships/hyperlink" Target="#&#22343;&#31561;&#21106;&#38989;&#36605;&#28187;&#21028;&#23450;!A1"/></Relationships>
</file>

<file path=xl/drawings/_rels/drawing2.xml.rels><?xml version="1.0" encoding="UTF-8" standalone="yes"?>
<Relationships xmlns="http://schemas.openxmlformats.org/package/2006/relationships"><Relationship Id="rId2" Type="http://schemas.openxmlformats.org/officeDocument/2006/relationships/hyperlink" Target="#&#22343;&#31561;&#21106;&#38989;&#36605;&#28187;&#21028;&#23450;!A1"/><Relationship Id="rId1" Type="http://schemas.openxmlformats.org/officeDocument/2006/relationships/hyperlink" Target="#&#35430;&#31639;&#12471;&#12540;&#12488;!A1"/></Relationships>
</file>

<file path=xl/drawings/_rels/drawing3.xml.rels><?xml version="1.0" encoding="UTF-8" standalone="yes"?>
<Relationships xmlns="http://schemas.openxmlformats.org/package/2006/relationships"><Relationship Id="rId2" Type="http://schemas.openxmlformats.org/officeDocument/2006/relationships/hyperlink" Target="#&#35430;&#31639;&#32080;&#26524;&#35443;&#32048;!A1"/><Relationship Id="rId1" Type="http://schemas.openxmlformats.org/officeDocument/2006/relationships/hyperlink" Target="#&#35430;&#31639;&#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35430;&#31639;&#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35430;&#31639;&#12471;&#12540;&#12488;!A1"/></Relationships>
</file>

<file path=xl/drawings/_rels/drawing6.xml.rels><?xml version="1.0" encoding="UTF-8" standalone="yes"?>
<Relationships xmlns="http://schemas.openxmlformats.org/package/2006/relationships"><Relationship Id="rId2" Type="http://schemas.openxmlformats.org/officeDocument/2006/relationships/hyperlink" Target="#&#35430;&#31639;&#12471;&#12540;&#12488;!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32102;&#19982;&#25152;&#24471;&#25563;&#31639;&#34920;!A1"/><Relationship Id="rId2" Type="http://schemas.openxmlformats.org/officeDocument/2006/relationships/hyperlink" Target="#&#35430;&#31639;&#12471;&#12540;&#12488;!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88851</xdr:colOff>
      <xdr:row>43</xdr:row>
      <xdr:rowOff>2166</xdr:rowOff>
    </xdr:from>
    <xdr:to>
      <xdr:col>8</xdr:col>
      <xdr:colOff>1432892</xdr:colOff>
      <xdr:row>43</xdr:row>
      <xdr:rowOff>770284</xdr:rowOff>
    </xdr:to>
    <xdr:sp macro="" textlink="">
      <xdr:nvSpPr>
        <xdr:cNvPr id="3" name="額縁 2">
          <a:hlinkClick xmlns:r="http://schemas.openxmlformats.org/officeDocument/2006/relationships" r:id="rId1" tooltip="保険料の詳細情報を表示します"/>
          <a:extLst>
            <a:ext uri="{FF2B5EF4-FFF2-40B4-BE49-F238E27FC236}">
              <a16:creationId xmlns:a16="http://schemas.microsoft.com/office/drawing/2014/main" id="{00000000-0008-0000-0100-000003000000}"/>
            </a:ext>
          </a:extLst>
        </xdr:cNvPr>
        <xdr:cNvSpPr/>
      </xdr:nvSpPr>
      <xdr:spPr>
        <a:xfrm>
          <a:off x="3169981" y="15159340"/>
          <a:ext cx="1344041" cy="768118"/>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保険料詳細へ</a:t>
          </a:r>
        </a:p>
      </xdr:txBody>
    </xdr:sp>
    <xdr:clientData/>
  </xdr:twoCellAnchor>
  <xdr:twoCellAnchor>
    <xdr:from>
      <xdr:col>21</xdr:col>
      <xdr:colOff>874739</xdr:colOff>
      <xdr:row>19</xdr:row>
      <xdr:rowOff>266202</xdr:rowOff>
    </xdr:from>
    <xdr:to>
      <xdr:col>23</xdr:col>
      <xdr:colOff>62612</xdr:colOff>
      <xdr:row>21</xdr:row>
      <xdr:rowOff>371187</xdr:rowOff>
    </xdr:to>
    <xdr:sp macro="" textlink="">
      <xdr:nvSpPr>
        <xdr:cNvPr id="4" name="額縁 3">
          <a:hlinkClick xmlns:r="http://schemas.openxmlformats.org/officeDocument/2006/relationships" r:id="rId2" tooltip="クリックで源泉徴収票の見本へ"/>
          <a:extLst>
            <a:ext uri="{FF2B5EF4-FFF2-40B4-BE49-F238E27FC236}">
              <a16:creationId xmlns:a16="http://schemas.microsoft.com/office/drawing/2014/main" id="{00000000-0008-0000-0100-000004000000}"/>
            </a:ext>
          </a:extLst>
        </xdr:cNvPr>
        <xdr:cNvSpPr/>
      </xdr:nvSpPr>
      <xdr:spPr>
        <a:xfrm>
          <a:off x="11399864" y="7902077"/>
          <a:ext cx="1299248" cy="644735"/>
        </a:xfrm>
        <a:prstGeom prst="bevel">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000" u="sng">
              <a:solidFill>
                <a:srgbClr val="0000FF"/>
              </a:solidFill>
            </a:rPr>
            <a:t>源泉徴収票</a:t>
          </a:r>
          <a:endParaRPr kumimoji="1" lang="en-US" altLang="ja-JP" sz="1000" u="sng">
            <a:solidFill>
              <a:srgbClr val="0000FF"/>
            </a:solidFill>
          </a:endParaRPr>
        </a:p>
        <a:p>
          <a:pPr algn="ctr"/>
          <a:r>
            <a:rPr kumimoji="1" lang="ja-JP" altLang="en-US" sz="1000" u="sng">
              <a:solidFill>
                <a:srgbClr val="0000FF"/>
              </a:solidFill>
            </a:rPr>
            <a:t>をお持ちの方</a:t>
          </a:r>
        </a:p>
      </xdr:txBody>
    </xdr:sp>
    <xdr:clientData/>
  </xdr:twoCellAnchor>
  <xdr:twoCellAnchor>
    <xdr:from>
      <xdr:col>21</xdr:col>
      <xdr:colOff>875557</xdr:colOff>
      <xdr:row>17</xdr:row>
      <xdr:rowOff>91787</xdr:rowOff>
    </xdr:from>
    <xdr:to>
      <xdr:col>23</xdr:col>
      <xdr:colOff>70760</xdr:colOff>
      <xdr:row>19</xdr:row>
      <xdr:rowOff>199691</xdr:rowOff>
    </xdr:to>
    <xdr:sp macro="" textlink="">
      <xdr:nvSpPr>
        <xdr:cNvPr id="6" name="額縁 5">
          <a:hlinkClick xmlns:r="http://schemas.openxmlformats.org/officeDocument/2006/relationships" r:id="rId3" tooltip="クリックで確定申告書Bの見本へ"/>
          <a:extLst>
            <a:ext uri="{FF2B5EF4-FFF2-40B4-BE49-F238E27FC236}">
              <a16:creationId xmlns:a16="http://schemas.microsoft.com/office/drawing/2014/main" id="{00000000-0008-0000-0100-000006000000}"/>
            </a:ext>
          </a:extLst>
        </xdr:cNvPr>
        <xdr:cNvSpPr/>
      </xdr:nvSpPr>
      <xdr:spPr>
        <a:xfrm>
          <a:off x="11400682" y="7187912"/>
          <a:ext cx="1306578" cy="647654"/>
        </a:xfrm>
        <a:prstGeom prst="bevel">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000" u="sng">
              <a:solidFill>
                <a:srgbClr val="0000FF"/>
              </a:solidFill>
            </a:rPr>
            <a:t>確定申告書</a:t>
          </a:r>
          <a:endParaRPr kumimoji="1" lang="en-US" altLang="ja-JP" sz="1000" u="sng">
            <a:solidFill>
              <a:srgbClr val="0000FF"/>
            </a:solidFill>
          </a:endParaRPr>
        </a:p>
        <a:p>
          <a:pPr algn="ctr"/>
          <a:r>
            <a:rPr kumimoji="1" lang="ja-JP" altLang="en-US" sz="1000" u="sng">
              <a:solidFill>
                <a:srgbClr val="0000FF"/>
              </a:solidFill>
            </a:rPr>
            <a:t>をお持ちの方</a:t>
          </a:r>
        </a:p>
      </xdr:txBody>
    </xdr:sp>
    <xdr:clientData/>
  </xdr:twoCellAnchor>
  <xdr:twoCellAnchor>
    <xdr:from>
      <xdr:col>10</xdr:col>
      <xdr:colOff>85725</xdr:colOff>
      <xdr:row>39</xdr:row>
      <xdr:rowOff>261597</xdr:rowOff>
    </xdr:from>
    <xdr:to>
      <xdr:col>14</xdr:col>
      <xdr:colOff>685800</xdr:colOff>
      <xdr:row>40</xdr:row>
      <xdr:rowOff>629480</xdr:rowOff>
    </xdr:to>
    <xdr:sp macro="" textlink="">
      <xdr:nvSpPr>
        <xdr:cNvPr id="9" name="額縁 8">
          <a:hlinkClick xmlns:r="http://schemas.openxmlformats.org/officeDocument/2006/relationships" r:id="rId4" tooltip="均等割額軽減判定の詳細情報を表示します"/>
          <a:extLst>
            <a:ext uri="{FF2B5EF4-FFF2-40B4-BE49-F238E27FC236}">
              <a16:creationId xmlns:a16="http://schemas.microsoft.com/office/drawing/2014/main" id="{00000000-0008-0000-0100-000009000000}"/>
            </a:ext>
          </a:extLst>
        </xdr:cNvPr>
        <xdr:cNvSpPr/>
      </xdr:nvSpPr>
      <xdr:spPr>
        <a:xfrm>
          <a:off x="4649442" y="13853358"/>
          <a:ext cx="2339423" cy="632926"/>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均等割額軽減判定詳細へ</a:t>
          </a:r>
        </a:p>
      </xdr:txBody>
    </xdr:sp>
    <xdr:clientData/>
  </xdr:twoCellAnchor>
  <xdr:twoCellAnchor>
    <xdr:from>
      <xdr:col>15</xdr:col>
      <xdr:colOff>888371</xdr:colOff>
      <xdr:row>17</xdr:row>
      <xdr:rowOff>93974</xdr:rowOff>
    </xdr:from>
    <xdr:to>
      <xdr:col>16</xdr:col>
      <xdr:colOff>828839</xdr:colOff>
      <xdr:row>19</xdr:row>
      <xdr:rowOff>196789</xdr:rowOff>
    </xdr:to>
    <xdr:sp macro="" textlink="">
      <xdr:nvSpPr>
        <xdr:cNvPr id="8" name="額縁 7">
          <a:hlinkClick xmlns:r="http://schemas.openxmlformats.org/officeDocument/2006/relationships" r:id="rId5" tooltip="クリックで給与所得換算表へ"/>
          <a:extLst>
            <a:ext uri="{FF2B5EF4-FFF2-40B4-BE49-F238E27FC236}">
              <a16:creationId xmlns:a16="http://schemas.microsoft.com/office/drawing/2014/main" id="{00000000-0008-0000-0100-000008000000}"/>
            </a:ext>
          </a:extLst>
        </xdr:cNvPr>
        <xdr:cNvSpPr/>
      </xdr:nvSpPr>
      <xdr:spPr>
        <a:xfrm>
          <a:off x="8317871" y="7190099"/>
          <a:ext cx="1305718" cy="642565"/>
        </a:xfrm>
        <a:prstGeom prst="bevel">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000" u="sng">
              <a:solidFill>
                <a:srgbClr val="0000FF"/>
              </a:solidFill>
            </a:rPr>
            <a:t>給与所得が</a:t>
          </a:r>
          <a:endParaRPr kumimoji="1" lang="en-US" altLang="ja-JP" sz="1000" u="sng">
            <a:solidFill>
              <a:srgbClr val="0000FF"/>
            </a:solidFill>
          </a:endParaRPr>
        </a:p>
        <a:p>
          <a:pPr algn="ctr">
            <a:lnSpc>
              <a:spcPts val="1200"/>
            </a:lnSpc>
          </a:pPr>
          <a:r>
            <a:rPr kumimoji="1" lang="ja-JP" altLang="en-US" sz="1000" u="sng">
              <a:solidFill>
                <a:srgbClr val="0000FF"/>
              </a:solidFill>
            </a:rPr>
            <a:t>わからない方</a:t>
          </a:r>
        </a:p>
      </xdr:txBody>
    </xdr:sp>
    <xdr:clientData/>
  </xdr:twoCellAnchor>
  <xdr:twoCellAnchor>
    <xdr:from>
      <xdr:col>15</xdr:col>
      <xdr:colOff>892249</xdr:colOff>
      <xdr:row>20</xdr:row>
      <xdr:rowOff>13173</xdr:rowOff>
    </xdr:from>
    <xdr:to>
      <xdr:col>16</xdr:col>
      <xdr:colOff>832717</xdr:colOff>
      <xdr:row>21</xdr:row>
      <xdr:rowOff>388327</xdr:rowOff>
    </xdr:to>
    <xdr:sp macro="" textlink="">
      <xdr:nvSpPr>
        <xdr:cNvPr id="11" name="額縁 10">
          <a:hlinkClick xmlns:r="http://schemas.openxmlformats.org/officeDocument/2006/relationships" r:id="rId6" tooltip="クリックで公的年金所得換算表へ"/>
          <a:extLst>
            <a:ext uri="{FF2B5EF4-FFF2-40B4-BE49-F238E27FC236}">
              <a16:creationId xmlns:a16="http://schemas.microsoft.com/office/drawing/2014/main" id="{00000000-0008-0000-0100-00000B000000}"/>
            </a:ext>
          </a:extLst>
        </xdr:cNvPr>
        <xdr:cNvSpPr/>
      </xdr:nvSpPr>
      <xdr:spPr>
        <a:xfrm>
          <a:off x="8321749" y="7918923"/>
          <a:ext cx="1305718" cy="645029"/>
        </a:xfrm>
        <a:prstGeom prst="bevel">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000" u="sng">
              <a:solidFill>
                <a:srgbClr val="0000FF"/>
              </a:solidFill>
            </a:rPr>
            <a:t>公的年金所得が</a:t>
          </a:r>
          <a:endParaRPr kumimoji="1" lang="en-US" altLang="ja-JP" sz="1000" u="sng">
            <a:solidFill>
              <a:srgbClr val="0000FF"/>
            </a:solidFill>
          </a:endParaRPr>
        </a:p>
        <a:p>
          <a:pPr algn="ctr">
            <a:lnSpc>
              <a:spcPts val="1200"/>
            </a:lnSpc>
          </a:pPr>
          <a:r>
            <a:rPr kumimoji="1" lang="ja-JP" altLang="en-US" sz="1000" u="sng">
              <a:solidFill>
                <a:srgbClr val="0000FF"/>
              </a:solidFill>
            </a:rPr>
            <a:t>わからない方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45720</xdr:colOff>
      <xdr:row>1</xdr:row>
      <xdr:rowOff>200025</xdr:rowOff>
    </xdr:from>
    <xdr:to>
      <xdr:col>12</xdr:col>
      <xdr:colOff>403860</xdr:colOff>
      <xdr:row>2</xdr:row>
      <xdr:rowOff>495300</xdr:rowOff>
    </xdr:to>
    <xdr:sp macro="" textlink="">
      <xdr:nvSpPr>
        <xdr:cNvPr id="2" name="額縁 1">
          <a:hlinkClick xmlns:r="http://schemas.openxmlformats.org/officeDocument/2006/relationships" r:id="rId1" tooltip="入力表に戻ります"/>
          <a:extLst>
            <a:ext uri="{FF2B5EF4-FFF2-40B4-BE49-F238E27FC236}">
              <a16:creationId xmlns:a16="http://schemas.microsoft.com/office/drawing/2014/main" id="{00000000-0008-0000-0200-000002000000}"/>
            </a:ext>
          </a:extLst>
        </xdr:cNvPr>
        <xdr:cNvSpPr/>
      </xdr:nvSpPr>
      <xdr:spPr>
        <a:xfrm>
          <a:off x="9006840" y="367665"/>
          <a:ext cx="1341120" cy="508635"/>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入力表に戻る</a:t>
          </a:r>
        </a:p>
      </xdr:txBody>
    </xdr:sp>
    <xdr:clientData/>
  </xdr:twoCellAnchor>
  <xdr:twoCellAnchor>
    <xdr:from>
      <xdr:col>10</xdr:col>
      <xdr:colOff>7620</xdr:colOff>
      <xdr:row>10</xdr:row>
      <xdr:rowOff>30480</xdr:rowOff>
    </xdr:from>
    <xdr:to>
      <xdr:col>14</xdr:col>
      <xdr:colOff>22860</xdr:colOff>
      <xdr:row>10</xdr:row>
      <xdr:rowOff>531495</xdr:rowOff>
    </xdr:to>
    <xdr:sp macro="" textlink="">
      <xdr:nvSpPr>
        <xdr:cNvPr id="3" name="額縁 2">
          <a:hlinkClick xmlns:r="http://schemas.openxmlformats.org/officeDocument/2006/relationships" r:id="rId2" tooltip="均等割額軽減判定の詳細情報を表示します"/>
          <a:extLst>
            <a:ext uri="{FF2B5EF4-FFF2-40B4-BE49-F238E27FC236}">
              <a16:creationId xmlns:a16="http://schemas.microsoft.com/office/drawing/2014/main" id="{00000000-0008-0000-0200-000003000000}"/>
            </a:ext>
          </a:extLst>
        </xdr:cNvPr>
        <xdr:cNvSpPr/>
      </xdr:nvSpPr>
      <xdr:spPr>
        <a:xfrm>
          <a:off x="8968740" y="3520440"/>
          <a:ext cx="2004060" cy="501015"/>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均等割額軽減判定詳細へ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274320</xdr:colOff>
      <xdr:row>0</xdr:row>
      <xdr:rowOff>129540</xdr:rowOff>
    </xdr:from>
    <xdr:to>
      <xdr:col>5</xdr:col>
      <xdr:colOff>1653540</xdr:colOff>
      <xdr:row>1</xdr:row>
      <xdr:rowOff>312420</xdr:rowOff>
    </xdr:to>
    <xdr:sp macro="" textlink="">
      <xdr:nvSpPr>
        <xdr:cNvPr id="3" name="額縁 2">
          <a:hlinkClick xmlns:r="http://schemas.openxmlformats.org/officeDocument/2006/relationships" r:id="rId1" tooltip="入力表に戻ります"/>
          <a:extLst>
            <a:ext uri="{FF2B5EF4-FFF2-40B4-BE49-F238E27FC236}">
              <a16:creationId xmlns:a16="http://schemas.microsoft.com/office/drawing/2014/main" id="{00000000-0008-0000-0300-000003000000}"/>
            </a:ext>
          </a:extLst>
        </xdr:cNvPr>
        <xdr:cNvSpPr/>
      </xdr:nvSpPr>
      <xdr:spPr>
        <a:xfrm>
          <a:off x="7193280" y="129540"/>
          <a:ext cx="1379220" cy="563880"/>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入力表に戻る</a:t>
          </a:r>
        </a:p>
      </xdr:txBody>
    </xdr:sp>
    <xdr:clientData/>
  </xdr:twoCellAnchor>
  <xdr:twoCellAnchor>
    <xdr:from>
      <xdr:col>5</xdr:col>
      <xdr:colOff>274320</xdr:colOff>
      <xdr:row>2</xdr:row>
      <xdr:rowOff>68580</xdr:rowOff>
    </xdr:from>
    <xdr:to>
      <xdr:col>5</xdr:col>
      <xdr:colOff>1660488</xdr:colOff>
      <xdr:row>3</xdr:row>
      <xdr:rowOff>207533</xdr:rowOff>
    </xdr:to>
    <xdr:sp macro="" textlink="">
      <xdr:nvSpPr>
        <xdr:cNvPr id="4" name="額縁 3">
          <a:hlinkClick xmlns:r="http://schemas.openxmlformats.org/officeDocument/2006/relationships" r:id="rId2" tooltip="保険料の詳細情報を表示します"/>
          <a:extLst>
            <a:ext uri="{FF2B5EF4-FFF2-40B4-BE49-F238E27FC236}">
              <a16:creationId xmlns:a16="http://schemas.microsoft.com/office/drawing/2014/main" id="{00000000-0008-0000-0300-000004000000}"/>
            </a:ext>
          </a:extLst>
        </xdr:cNvPr>
        <xdr:cNvSpPr/>
      </xdr:nvSpPr>
      <xdr:spPr>
        <a:xfrm>
          <a:off x="7193280" y="830580"/>
          <a:ext cx="1386168" cy="519953"/>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保険料詳細へ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0</xdr:row>
      <xdr:rowOff>22860</xdr:rowOff>
    </xdr:from>
    <xdr:to>
      <xdr:col>10</xdr:col>
      <xdr:colOff>137160</xdr:colOff>
      <xdr:row>2</xdr:row>
      <xdr:rowOff>112395</xdr:rowOff>
    </xdr:to>
    <xdr:sp macro="" textlink="">
      <xdr:nvSpPr>
        <xdr:cNvPr id="2" name="額縁 1">
          <a:hlinkClick xmlns:r="http://schemas.openxmlformats.org/officeDocument/2006/relationships" r:id="rId1" tooltip="入力表に戻ります"/>
          <a:extLst>
            <a:ext uri="{FF2B5EF4-FFF2-40B4-BE49-F238E27FC236}">
              <a16:creationId xmlns:a16="http://schemas.microsoft.com/office/drawing/2014/main" id="{00000000-0008-0000-0400-000002000000}"/>
            </a:ext>
          </a:extLst>
        </xdr:cNvPr>
        <xdr:cNvSpPr/>
      </xdr:nvSpPr>
      <xdr:spPr>
        <a:xfrm>
          <a:off x="6827520" y="22860"/>
          <a:ext cx="1356360" cy="508635"/>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入力表に戻る</a:t>
          </a:r>
        </a:p>
      </xdr:txBody>
    </xdr:sp>
    <xdr:clientData/>
  </xdr:twoCellAnchor>
  <xdr:twoCellAnchor>
    <xdr:from>
      <xdr:col>0</xdr:col>
      <xdr:colOff>179294</xdr:colOff>
      <xdr:row>14</xdr:row>
      <xdr:rowOff>11206</xdr:rowOff>
    </xdr:from>
    <xdr:to>
      <xdr:col>1</xdr:col>
      <xdr:colOff>0</xdr:colOff>
      <xdr:row>16</xdr:row>
      <xdr:rowOff>212912</xdr:rowOff>
    </xdr:to>
    <xdr:sp macro="" textlink="">
      <xdr:nvSpPr>
        <xdr:cNvPr id="3" name="左中かっこ 2">
          <a:extLst>
            <a:ext uri="{FF2B5EF4-FFF2-40B4-BE49-F238E27FC236}">
              <a16:creationId xmlns:a16="http://schemas.microsoft.com/office/drawing/2014/main" id="{00000000-0008-0000-0400-000003000000}"/>
            </a:ext>
          </a:extLst>
        </xdr:cNvPr>
        <xdr:cNvSpPr/>
      </xdr:nvSpPr>
      <xdr:spPr>
        <a:xfrm>
          <a:off x="179294" y="3160059"/>
          <a:ext cx="246530" cy="649941"/>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251460</xdr:colOff>
      <xdr:row>0</xdr:row>
      <xdr:rowOff>22860</xdr:rowOff>
    </xdr:from>
    <xdr:to>
      <xdr:col>10</xdr:col>
      <xdr:colOff>129540</xdr:colOff>
      <xdr:row>2</xdr:row>
      <xdr:rowOff>201706</xdr:rowOff>
    </xdr:to>
    <xdr:sp macro="" textlink="">
      <xdr:nvSpPr>
        <xdr:cNvPr id="2" name="額縁 1">
          <a:hlinkClick xmlns:r="http://schemas.openxmlformats.org/officeDocument/2006/relationships" r:id="rId1" tooltip="入力表に戻ります"/>
          <a:extLst>
            <a:ext uri="{FF2B5EF4-FFF2-40B4-BE49-F238E27FC236}">
              <a16:creationId xmlns:a16="http://schemas.microsoft.com/office/drawing/2014/main" id="{00000000-0008-0000-0500-000002000000}"/>
            </a:ext>
          </a:extLst>
        </xdr:cNvPr>
        <xdr:cNvSpPr/>
      </xdr:nvSpPr>
      <xdr:spPr>
        <a:xfrm>
          <a:off x="7759401" y="22860"/>
          <a:ext cx="1514139" cy="638287"/>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入力表に戻る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189998</xdr:colOff>
      <xdr:row>2</xdr:row>
      <xdr:rowOff>109788</xdr:rowOff>
    </xdr:from>
    <xdr:to>
      <xdr:col>8</xdr:col>
      <xdr:colOff>123323</xdr:colOff>
      <xdr:row>41</xdr:row>
      <xdr:rowOff>64936</xdr:rowOff>
    </xdr:to>
    <xdr:pic>
      <xdr:nvPicPr>
        <xdr:cNvPr id="3725" name="図 2">
          <a:extLst>
            <a:ext uri="{FF2B5EF4-FFF2-40B4-BE49-F238E27FC236}">
              <a16:creationId xmlns:a16="http://schemas.microsoft.com/office/drawing/2014/main" id="{00000000-0008-0000-0600-00008D0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6801" y="450683"/>
          <a:ext cx="4740943" cy="6602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8</xdr:row>
      <xdr:rowOff>47625</xdr:rowOff>
    </xdr:from>
    <xdr:to>
      <xdr:col>5</xdr:col>
      <xdr:colOff>514350</xdr:colOff>
      <xdr:row>11</xdr:row>
      <xdr:rowOff>161925</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bwMode="auto">
        <a:xfrm>
          <a:off x="2562225" y="1419225"/>
          <a:ext cx="1381125" cy="6286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endParaRPr lang="ja-JP" altLang="en-US"/>
        </a:p>
      </xdr:txBody>
    </xdr:sp>
    <xdr:clientData/>
  </xdr:twoCellAnchor>
  <xdr:twoCellAnchor>
    <xdr:from>
      <xdr:col>7</xdr:col>
      <xdr:colOff>485775</xdr:colOff>
      <xdr:row>0</xdr:row>
      <xdr:rowOff>76200</xdr:rowOff>
    </xdr:from>
    <xdr:to>
      <xdr:col>9</xdr:col>
      <xdr:colOff>601980</xdr:colOff>
      <xdr:row>3</xdr:row>
      <xdr:rowOff>0</xdr:rowOff>
    </xdr:to>
    <xdr:sp macro="" textlink="">
      <xdr:nvSpPr>
        <xdr:cNvPr id="8" name="額縁 7">
          <a:hlinkClick xmlns:r="http://schemas.openxmlformats.org/officeDocument/2006/relationships" r:id="rId2" tooltip="入力表に戻ります"/>
          <a:extLst>
            <a:ext uri="{FF2B5EF4-FFF2-40B4-BE49-F238E27FC236}">
              <a16:creationId xmlns:a16="http://schemas.microsoft.com/office/drawing/2014/main" id="{00000000-0008-0000-0600-000008000000}"/>
            </a:ext>
          </a:extLst>
        </xdr:cNvPr>
        <xdr:cNvSpPr/>
      </xdr:nvSpPr>
      <xdr:spPr>
        <a:xfrm>
          <a:off x="4752975" y="76200"/>
          <a:ext cx="1335405" cy="426720"/>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入力表に戻る</a:t>
          </a:r>
        </a:p>
      </xdr:txBody>
    </xdr:sp>
    <xdr:clientData/>
  </xdr:twoCellAnchor>
  <xdr:twoCellAnchor>
    <xdr:from>
      <xdr:col>3</xdr:col>
      <xdr:colOff>628649</xdr:colOff>
      <xdr:row>20</xdr:row>
      <xdr:rowOff>49530</xdr:rowOff>
    </xdr:from>
    <xdr:to>
      <xdr:col>8</xdr:col>
      <xdr:colOff>333374</xdr:colOff>
      <xdr:row>24</xdr:row>
      <xdr:rowOff>129540</xdr:rowOff>
    </xdr:to>
    <xdr:sp macro="" textlink="">
      <xdr:nvSpPr>
        <xdr:cNvPr id="13" name="線吹き出し 2 (枠付き) 12">
          <a:extLst>
            <a:ext uri="{FF2B5EF4-FFF2-40B4-BE49-F238E27FC236}">
              <a16:creationId xmlns:a16="http://schemas.microsoft.com/office/drawing/2014/main" id="{00000000-0008-0000-0600-00000D000000}"/>
            </a:ext>
          </a:extLst>
        </xdr:cNvPr>
        <xdr:cNvSpPr/>
      </xdr:nvSpPr>
      <xdr:spPr bwMode="auto">
        <a:xfrm>
          <a:off x="2686049" y="3478530"/>
          <a:ext cx="3133725" cy="765810"/>
        </a:xfrm>
        <a:prstGeom prst="borderCallout2">
          <a:avLst>
            <a:gd name="adj1" fmla="val -1293"/>
            <a:gd name="adj2" fmla="val 878"/>
            <a:gd name="adj3" fmla="val -2404"/>
            <a:gd name="adj4" fmla="val 35507"/>
            <a:gd name="adj5" fmla="val -184298"/>
            <a:gd name="adj6" fmla="val 185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kumimoji="1" lang="ja-JP" altLang="en-US" sz="1200">
              <a:solidFill>
                <a:sysClr val="windowText" lastClr="000000"/>
              </a:solidFill>
            </a:rPr>
            <a:t>「給与所得控除後の金額」が</a:t>
          </a:r>
          <a:endParaRPr kumimoji="1" lang="en-US" altLang="ja-JP" sz="1200">
            <a:solidFill>
              <a:sysClr val="windowText" lastClr="000000"/>
            </a:solidFill>
          </a:endParaRPr>
        </a:p>
        <a:p>
          <a:pPr algn="ctr"/>
          <a:r>
            <a:rPr kumimoji="1" lang="ja-JP" altLang="en-US" sz="1200">
              <a:solidFill>
                <a:sysClr val="windowText" lastClr="000000"/>
              </a:solidFill>
            </a:rPr>
            <a:t>計算シートの「令和</a:t>
          </a:r>
          <a:r>
            <a:rPr kumimoji="1" lang="en-US" altLang="ja-JP" sz="1200">
              <a:solidFill>
                <a:sysClr val="windowText" lastClr="000000"/>
              </a:solidFill>
            </a:rPr>
            <a:t>6</a:t>
          </a:r>
          <a:r>
            <a:rPr kumimoji="1" lang="ja-JP" altLang="en-US" sz="1200">
              <a:solidFill>
                <a:sysClr val="windowText" lastClr="000000"/>
              </a:solidFill>
            </a:rPr>
            <a:t>年中の</a:t>
          </a:r>
        </a:p>
        <a:p>
          <a:pPr algn="ctr"/>
          <a:r>
            <a:rPr kumimoji="1" lang="ja-JP" altLang="en-US" sz="1200">
              <a:solidFill>
                <a:sysClr val="windowText" lastClr="000000"/>
              </a:solidFill>
            </a:rPr>
            <a:t>給与所得金額」になります</a:t>
          </a:r>
          <a:endParaRPr kumimoji="1" lang="en-US" altLang="ja-JP" sz="1200">
            <a:solidFill>
              <a:sysClr val="windowText" lastClr="000000"/>
            </a:solidFill>
          </a:endParaRPr>
        </a:p>
      </xdr:txBody>
    </xdr:sp>
    <xdr:clientData/>
  </xdr:twoCellAnchor>
  <xdr:twoCellAnchor>
    <xdr:from>
      <xdr:col>3</xdr:col>
      <xdr:colOff>85725</xdr:colOff>
      <xdr:row>1</xdr:row>
      <xdr:rowOff>76199</xdr:rowOff>
    </xdr:from>
    <xdr:to>
      <xdr:col>3</xdr:col>
      <xdr:colOff>238125</xdr:colOff>
      <xdr:row>2</xdr:row>
      <xdr:rowOff>104774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143125" y="247649"/>
          <a:ext cx="152400" cy="2000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295275</xdr:colOff>
      <xdr:row>3</xdr:row>
      <xdr:rowOff>19050</xdr:rowOff>
    </xdr:from>
    <xdr:to>
      <xdr:col>4</xdr:col>
      <xdr:colOff>66675</xdr:colOff>
      <xdr:row>4</xdr:row>
      <xdr:rowOff>104775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666875" y="533400"/>
          <a:ext cx="11430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latin typeface="ＭＳ Ｐ明朝" panose="02020600040205080304" pitchFamily="18" charset="-128"/>
              <a:ea typeface="ＭＳ Ｐ明朝" panose="02020600040205080304" pitchFamily="18" charset="-128"/>
            </a:rPr>
            <a:t>令和　　年分</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5013</xdr:colOff>
      <xdr:row>3</xdr:row>
      <xdr:rowOff>129840</xdr:rowOff>
    </xdr:from>
    <xdr:to>
      <xdr:col>8</xdr:col>
      <xdr:colOff>225403</xdr:colOff>
      <xdr:row>51</xdr:row>
      <xdr:rowOff>16542</xdr:rowOff>
    </xdr:to>
    <xdr:pic>
      <xdr:nvPicPr>
        <xdr:cNvPr id="8" name="図 7">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013" y="641182"/>
          <a:ext cx="5714811" cy="8068176"/>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127635</xdr:colOff>
      <xdr:row>0</xdr:row>
      <xdr:rowOff>40005</xdr:rowOff>
    </xdr:from>
    <xdr:to>
      <xdr:col>8</xdr:col>
      <xdr:colOff>160020</xdr:colOff>
      <xdr:row>2</xdr:row>
      <xdr:rowOff>135255</xdr:rowOff>
    </xdr:to>
    <xdr:sp macro="" textlink="">
      <xdr:nvSpPr>
        <xdr:cNvPr id="7" name="額縁 6">
          <a:hlinkClick xmlns:r="http://schemas.openxmlformats.org/officeDocument/2006/relationships" r:id="rId2" tooltip="入力表に戻ります"/>
          <a:extLst>
            <a:ext uri="{FF2B5EF4-FFF2-40B4-BE49-F238E27FC236}">
              <a16:creationId xmlns:a16="http://schemas.microsoft.com/office/drawing/2014/main" id="{00000000-0008-0000-0700-000007000000}"/>
            </a:ext>
          </a:extLst>
        </xdr:cNvPr>
        <xdr:cNvSpPr/>
      </xdr:nvSpPr>
      <xdr:spPr>
        <a:xfrm>
          <a:off x="3785235" y="40005"/>
          <a:ext cx="1251585" cy="430530"/>
        </a:xfrm>
        <a:prstGeom prst="bevel">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u="sng">
              <a:solidFill>
                <a:srgbClr val="0000FF"/>
              </a:solidFill>
            </a:rPr>
            <a:t>入力表に戻る</a:t>
          </a:r>
        </a:p>
      </xdr:txBody>
    </xdr:sp>
    <xdr:clientData/>
  </xdr:twoCellAnchor>
  <xdr:twoCellAnchor>
    <xdr:from>
      <xdr:col>7</xdr:col>
      <xdr:colOff>639536</xdr:colOff>
      <xdr:row>4</xdr:row>
      <xdr:rowOff>111580</xdr:rowOff>
    </xdr:from>
    <xdr:to>
      <xdr:col>8</xdr:col>
      <xdr:colOff>231322</xdr:colOff>
      <xdr:row>29</xdr:row>
      <xdr:rowOff>40822</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402036" y="819151"/>
          <a:ext cx="272143" cy="435156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91847</xdr:colOff>
      <xdr:row>32</xdr:row>
      <xdr:rowOff>134082</xdr:rowOff>
    </xdr:from>
    <xdr:to>
      <xdr:col>4</xdr:col>
      <xdr:colOff>236660</xdr:colOff>
      <xdr:row>33</xdr:row>
      <xdr:rowOff>134083</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463447" y="5620482"/>
          <a:ext cx="1516413" cy="171451"/>
        </a:xfrm>
        <a:prstGeom prst="rect">
          <a:avLst/>
        </a:prstGeom>
        <a:noFill/>
        <a:ln w="57150">
          <a:solidFill>
            <a:srgbClr val="00206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87923</xdr:colOff>
      <xdr:row>30</xdr:row>
      <xdr:rowOff>19756</xdr:rowOff>
    </xdr:from>
    <xdr:to>
      <xdr:col>4</xdr:col>
      <xdr:colOff>231543</xdr:colOff>
      <xdr:row>32</xdr:row>
      <xdr:rowOff>57150</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1459523" y="5163256"/>
          <a:ext cx="1515220" cy="380294"/>
        </a:xfrm>
        <a:prstGeom prst="rect">
          <a:avLst/>
        </a:prstGeom>
        <a:noFill/>
        <a:ln w="57150">
          <a:solidFill>
            <a:srgbClr val="00206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51427</xdr:colOff>
      <xdr:row>27</xdr:row>
      <xdr:rowOff>6955</xdr:rowOff>
    </xdr:from>
    <xdr:to>
      <xdr:col>8</xdr:col>
      <xdr:colOff>297991</xdr:colOff>
      <xdr:row>31</xdr:row>
      <xdr:rowOff>29913</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3495081" y="4556974"/>
          <a:ext cx="2312756" cy="697035"/>
        </a:xfrm>
        <a:prstGeom prst="rect">
          <a:avLst/>
        </a:prstGeom>
        <a:solidFill>
          <a:schemeClr val="bg1"/>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給与所得、年金所得以外の所得は計算シ－トの「それ以外の所得金額」に入力してください。</a:t>
          </a:r>
        </a:p>
      </xdr:txBody>
    </xdr:sp>
    <xdr:clientData/>
  </xdr:twoCellAnchor>
  <xdr:twoCellAnchor>
    <xdr:from>
      <xdr:col>4</xdr:col>
      <xdr:colOff>342162</xdr:colOff>
      <xdr:row>24</xdr:row>
      <xdr:rowOff>36634</xdr:rowOff>
    </xdr:from>
    <xdr:to>
      <xdr:col>5</xdr:col>
      <xdr:colOff>8501</xdr:colOff>
      <xdr:row>33</xdr:row>
      <xdr:rowOff>139211</xdr:rowOff>
    </xdr:to>
    <xdr:sp macro="" textlink="">
      <xdr:nvSpPr>
        <xdr:cNvPr id="13" name="右中かっこ 12">
          <a:extLst>
            <a:ext uri="{FF2B5EF4-FFF2-40B4-BE49-F238E27FC236}">
              <a16:creationId xmlns:a16="http://schemas.microsoft.com/office/drawing/2014/main" id="{00000000-0008-0000-0700-00000D000000}"/>
            </a:ext>
          </a:extLst>
        </xdr:cNvPr>
        <xdr:cNvSpPr/>
      </xdr:nvSpPr>
      <xdr:spPr>
        <a:xfrm>
          <a:off x="3097085" y="4081096"/>
          <a:ext cx="355070" cy="1619250"/>
        </a:xfrm>
        <a:prstGeom prst="rightBrac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23</xdr:row>
      <xdr:rowOff>940</xdr:rowOff>
    </xdr:from>
    <xdr:to>
      <xdr:col>4</xdr:col>
      <xdr:colOff>224216</xdr:colOff>
      <xdr:row>27</xdr:row>
      <xdr:rowOff>142875</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1466850" y="3944290"/>
          <a:ext cx="1500566" cy="827735"/>
        </a:xfrm>
        <a:prstGeom prst="rect">
          <a:avLst/>
        </a:prstGeom>
        <a:noFill/>
        <a:ln w="57150">
          <a:solidFill>
            <a:srgbClr val="00206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73269</xdr:colOff>
      <xdr:row>28</xdr:row>
      <xdr:rowOff>141408</xdr:rowOff>
    </xdr:from>
    <xdr:to>
      <xdr:col>4</xdr:col>
      <xdr:colOff>205154</xdr:colOff>
      <xdr:row>29</xdr:row>
      <xdr:rowOff>156062</xdr:rowOff>
    </xdr:to>
    <xdr:sp macro="" textlink="">
      <xdr:nvSpPr>
        <xdr:cNvPr id="18" name="角丸四角形 17">
          <a:extLst>
            <a:ext uri="{FF2B5EF4-FFF2-40B4-BE49-F238E27FC236}">
              <a16:creationId xmlns:a16="http://schemas.microsoft.com/office/drawing/2014/main" id="{00000000-0008-0000-0700-000012000000}"/>
            </a:ext>
          </a:extLst>
        </xdr:cNvPr>
        <xdr:cNvSpPr/>
      </xdr:nvSpPr>
      <xdr:spPr bwMode="auto">
        <a:xfrm>
          <a:off x="1444869" y="4942008"/>
          <a:ext cx="1503485" cy="18610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4</xdr:col>
      <xdr:colOff>550278</xdr:colOff>
      <xdr:row>16</xdr:row>
      <xdr:rowOff>32447</xdr:rowOff>
    </xdr:from>
    <xdr:to>
      <xdr:col>8</xdr:col>
      <xdr:colOff>583954</xdr:colOff>
      <xdr:row>22</xdr:row>
      <xdr:rowOff>167262</xdr:rowOff>
    </xdr:to>
    <xdr:sp macro="" textlink="">
      <xdr:nvSpPr>
        <xdr:cNvPr id="19" name="線吹き出し 2 (枠付き) 18">
          <a:extLst>
            <a:ext uri="{FF2B5EF4-FFF2-40B4-BE49-F238E27FC236}">
              <a16:creationId xmlns:a16="http://schemas.microsoft.com/office/drawing/2014/main" id="{00000000-0008-0000-0700-000013000000}"/>
            </a:ext>
          </a:extLst>
        </xdr:cNvPr>
        <xdr:cNvSpPr/>
      </xdr:nvSpPr>
      <xdr:spPr bwMode="auto">
        <a:xfrm>
          <a:off x="3293478" y="2775647"/>
          <a:ext cx="2776876" cy="1163515"/>
        </a:xfrm>
        <a:prstGeom prst="borderCallout2">
          <a:avLst>
            <a:gd name="adj1" fmla="val 87134"/>
            <a:gd name="adj2" fmla="val -934"/>
            <a:gd name="adj3" fmla="val 87841"/>
            <a:gd name="adj4" fmla="val -19014"/>
            <a:gd name="adj5" fmla="val 184138"/>
            <a:gd name="adj6" fmla="val -3859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kumimoji="1" lang="ja-JP" altLang="en-US" sz="1200">
              <a:solidFill>
                <a:sysClr val="windowText" lastClr="000000"/>
              </a:solidFill>
            </a:rPr>
            <a:t>公的年金等の所得がある方は、</a:t>
          </a:r>
          <a:endParaRPr kumimoji="1" lang="en-US" altLang="ja-JP" sz="1200">
            <a:solidFill>
              <a:sysClr val="windowText" lastClr="000000"/>
            </a:solidFill>
          </a:endParaRPr>
        </a:p>
        <a:p>
          <a:pPr algn="ctr"/>
          <a:r>
            <a:rPr kumimoji="1" lang="ja-JP" altLang="en-US" sz="1200">
              <a:solidFill>
                <a:sysClr val="windowText" lastClr="000000"/>
              </a:solidFill>
            </a:rPr>
            <a:t>⑦の「公的年金等」の所得額を計算シートの「令和</a:t>
          </a:r>
          <a:r>
            <a:rPr kumimoji="1" lang="en-US" altLang="ja-JP" sz="1200">
              <a:solidFill>
                <a:sysClr val="windowText" lastClr="000000"/>
              </a:solidFill>
            </a:rPr>
            <a:t>6</a:t>
          </a:r>
          <a:r>
            <a:rPr kumimoji="1" lang="ja-JP" altLang="en-US" sz="1200">
              <a:solidFill>
                <a:sysClr val="windowText" lastClr="000000"/>
              </a:solidFill>
            </a:rPr>
            <a:t>年中の公的年金等の雑所得金額」に入力してください。</a:t>
          </a:r>
          <a:endParaRPr kumimoji="1" lang="en-US" altLang="ja-JP" sz="1200">
            <a:solidFill>
              <a:sysClr val="windowText" lastClr="000000"/>
            </a:solidFill>
          </a:endParaRPr>
        </a:p>
      </xdr:txBody>
    </xdr:sp>
    <xdr:clientData/>
  </xdr:twoCellAnchor>
  <xdr:twoCellAnchor>
    <xdr:from>
      <xdr:col>2</xdr:col>
      <xdr:colOff>66674</xdr:colOff>
      <xdr:row>15</xdr:row>
      <xdr:rowOff>126764</xdr:rowOff>
    </xdr:from>
    <xdr:to>
      <xdr:col>4</xdr:col>
      <xdr:colOff>228599</xdr:colOff>
      <xdr:row>17</xdr:row>
      <xdr:rowOff>21080</xdr:rowOff>
    </xdr:to>
    <xdr:sp macro="" textlink="">
      <xdr:nvSpPr>
        <xdr:cNvPr id="24" name="角丸四角形 23">
          <a:extLst>
            <a:ext uri="{FF2B5EF4-FFF2-40B4-BE49-F238E27FC236}">
              <a16:creationId xmlns:a16="http://schemas.microsoft.com/office/drawing/2014/main" id="{00000000-0008-0000-0700-000018000000}"/>
            </a:ext>
          </a:extLst>
        </xdr:cNvPr>
        <xdr:cNvSpPr/>
      </xdr:nvSpPr>
      <xdr:spPr bwMode="auto">
        <a:xfrm>
          <a:off x="1438274" y="2698514"/>
          <a:ext cx="1533525" cy="23721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4</xdr:col>
      <xdr:colOff>526100</xdr:colOff>
      <xdr:row>5</xdr:row>
      <xdr:rowOff>152400</xdr:rowOff>
    </xdr:from>
    <xdr:to>
      <xdr:col>8</xdr:col>
      <xdr:colOff>590549</xdr:colOff>
      <xdr:row>11</xdr:row>
      <xdr:rowOff>152400</xdr:rowOff>
    </xdr:to>
    <xdr:sp macro="" textlink="">
      <xdr:nvSpPr>
        <xdr:cNvPr id="25" name="線吹き出し 2 (枠付き) 24">
          <a:extLst>
            <a:ext uri="{FF2B5EF4-FFF2-40B4-BE49-F238E27FC236}">
              <a16:creationId xmlns:a16="http://schemas.microsoft.com/office/drawing/2014/main" id="{00000000-0008-0000-0700-000019000000}"/>
            </a:ext>
          </a:extLst>
        </xdr:cNvPr>
        <xdr:cNvSpPr/>
      </xdr:nvSpPr>
      <xdr:spPr bwMode="auto">
        <a:xfrm>
          <a:off x="3269300" y="1009650"/>
          <a:ext cx="2807649" cy="1028700"/>
        </a:xfrm>
        <a:prstGeom prst="borderCallout2">
          <a:avLst>
            <a:gd name="adj1" fmla="val 87134"/>
            <a:gd name="adj2" fmla="val -934"/>
            <a:gd name="adj3" fmla="val 87841"/>
            <a:gd name="adj4" fmla="val -19014"/>
            <a:gd name="adj5" fmla="val 164049"/>
            <a:gd name="adj6" fmla="val -3589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kumimoji="1" lang="ja-JP" altLang="en-US" sz="1200">
              <a:solidFill>
                <a:sysClr val="windowText" lastClr="000000"/>
              </a:solidFill>
            </a:rPr>
            <a:t>給与収入がある方は、オの給与の金額を「給与所得換算表」に入力し、算出された所得額を計算シートの「令和</a:t>
          </a:r>
          <a:r>
            <a:rPr kumimoji="1" lang="en-US" altLang="ja-JP" sz="1200">
              <a:solidFill>
                <a:sysClr val="windowText" lastClr="000000"/>
              </a:solidFill>
            </a:rPr>
            <a:t>6</a:t>
          </a:r>
          <a:r>
            <a:rPr kumimoji="1" lang="ja-JP" altLang="en-US" sz="1200">
              <a:solidFill>
                <a:sysClr val="windowText" lastClr="000000"/>
              </a:solidFill>
            </a:rPr>
            <a:t>年中の給与所得金額」に入力してください。</a:t>
          </a:r>
          <a:endParaRPr kumimoji="1" lang="en-US" altLang="ja-JP" sz="1200">
            <a:solidFill>
              <a:sysClr val="windowText" lastClr="000000"/>
            </a:solidFill>
          </a:endParaRPr>
        </a:p>
        <a:p>
          <a:pPr algn="ctr"/>
          <a:endParaRPr kumimoji="1" lang="en-US" altLang="ja-JP" sz="1200">
            <a:solidFill>
              <a:sysClr val="windowText" lastClr="000000"/>
            </a:solidFill>
          </a:endParaRPr>
        </a:p>
      </xdr:txBody>
    </xdr:sp>
    <xdr:clientData/>
  </xdr:twoCellAnchor>
  <xdr:twoCellAnchor>
    <xdr:from>
      <xdr:col>9</xdr:col>
      <xdr:colOff>323850</xdr:colOff>
      <xdr:row>7</xdr:row>
      <xdr:rowOff>152400</xdr:rowOff>
    </xdr:from>
    <xdr:to>
      <xdr:col>11</xdr:col>
      <xdr:colOff>260200</xdr:colOff>
      <xdr:row>11</xdr:row>
      <xdr:rowOff>111499</xdr:rowOff>
    </xdr:to>
    <xdr:sp macro="" textlink="">
      <xdr:nvSpPr>
        <xdr:cNvPr id="26" name="額縁 25">
          <a:hlinkClick xmlns:r="http://schemas.openxmlformats.org/officeDocument/2006/relationships" r:id="rId3" tooltip="クリックで給与所得換算表へ"/>
          <a:extLst>
            <a:ext uri="{FF2B5EF4-FFF2-40B4-BE49-F238E27FC236}">
              <a16:creationId xmlns:a16="http://schemas.microsoft.com/office/drawing/2014/main" id="{00000000-0008-0000-0700-00001A000000}"/>
            </a:ext>
          </a:extLst>
        </xdr:cNvPr>
        <xdr:cNvSpPr/>
      </xdr:nvSpPr>
      <xdr:spPr>
        <a:xfrm>
          <a:off x="6496050" y="1352550"/>
          <a:ext cx="1307950" cy="644899"/>
        </a:xfrm>
        <a:prstGeom prst="bevel">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000" u="sng">
              <a:solidFill>
                <a:srgbClr val="0000FF"/>
              </a:solidFill>
            </a:rPr>
            <a:t>給与所得換算表</a:t>
          </a:r>
          <a:endParaRPr kumimoji="1" lang="en-US" altLang="ja-JP" sz="1000" u="sng">
            <a:solidFill>
              <a:srgbClr val="0000FF"/>
            </a:solidFill>
          </a:endParaRPr>
        </a:p>
      </xdr:txBody>
    </xdr:sp>
    <xdr:clientData/>
  </xdr:twoCellAnchor>
  <xdr:twoCellAnchor>
    <xdr:from>
      <xdr:col>8</xdr:col>
      <xdr:colOff>609600</xdr:colOff>
      <xdr:row>8</xdr:row>
      <xdr:rowOff>104775</xdr:rowOff>
    </xdr:from>
    <xdr:to>
      <xdr:col>9</xdr:col>
      <xdr:colOff>304800</xdr:colOff>
      <xdr:row>10</xdr:row>
      <xdr:rowOff>104775</xdr:rowOff>
    </xdr:to>
    <xdr:sp macro="" textlink="">
      <xdr:nvSpPr>
        <xdr:cNvPr id="27" name="右矢印 26">
          <a:extLst>
            <a:ext uri="{FF2B5EF4-FFF2-40B4-BE49-F238E27FC236}">
              <a16:creationId xmlns:a16="http://schemas.microsoft.com/office/drawing/2014/main" id="{00000000-0008-0000-0700-00001B000000}"/>
            </a:ext>
          </a:extLst>
        </xdr:cNvPr>
        <xdr:cNvSpPr/>
      </xdr:nvSpPr>
      <xdr:spPr>
        <a:xfrm>
          <a:off x="6096000" y="1476375"/>
          <a:ext cx="381000" cy="34290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I21"/>
  <sheetViews>
    <sheetView showGridLines="0" showRowColHeaders="0" workbookViewId="0">
      <selection activeCell="C12" sqref="C12"/>
    </sheetView>
  </sheetViews>
  <sheetFormatPr defaultColWidth="8.875" defaultRowHeight="13.5" x14ac:dyDescent="0.15"/>
  <cols>
    <col min="1" max="4" width="10.75" style="3" customWidth="1"/>
    <col min="5" max="5" width="2.25" style="3" customWidth="1"/>
    <col min="6" max="6" width="7.5" style="3" customWidth="1"/>
    <col min="7" max="16384" width="8.875" style="3"/>
  </cols>
  <sheetData>
    <row r="1" spans="1:9" ht="19.899999999999999" customHeight="1" thickBot="1" x14ac:dyDescent="0.2"/>
    <row r="2" spans="1:9" ht="19.899999999999999" customHeight="1" thickBot="1" x14ac:dyDescent="0.2">
      <c r="A2" s="52" t="s">
        <v>3</v>
      </c>
      <c r="B2" s="53">
        <v>430000</v>
      </c>
    </row>
    <row r="3" spans="1:9" ht="19.899999999999999" customHeight="1" thickBot="1" x14ac:dyDescent="0.2"/>
    <row r="4" spans="1:9" ht="19.899999999999999" customHeight="1" thickBot="1" x14ac:dyDescent="0.2">
      <c r="A4" s="44"/>
      <c r="B4" s="54" t="s">
        <v>36</v>
      </c>
      <c r="C4" s="55" t="s">
        <v>37</v>
      </c>
      <c r="D4" s="56" t="s">
        <v>38</v>
      </c>
    </row>
    <row r="5" spans="1:9" ht="19.899999999999999" customHeight="1" x14ac:dyDescent="0.15">
      <c r="A5" s="45" t="s">
        <v>0</v>
      </c>
      <c r="B5" s="41">
        <v>7.7100000000000002E-2</v>
      </c>
      <c r="C5" s="39">
        <v>2.69E-2</v>
      </c>
      <c r="D5" s="40">
        <v>2.1000000000000001E-2</v>
      </c>
    </row>
    <row r="6" spans="1:9" ht="19.899999999999999" customHeight="1" x14ac:dyDescent="0.15">
      <c r="A6" s="46" t="s">
        <v>1</v>
      </c>
      <c r="B6" s="42">
        <v>47300</v>
      </c>
      <c r="C6" s="35">
        <v>16800</v>
      </c>
      <c r="D6" s="36">
        <v>16600</v>
      </c>
    </row>
    <row r="7" spans="1:9" ht="19.899999999999999" customHeight="1" thickBot="1" x14ac:dyDescent="0.2">
      <c r="A7" s="47" t="s">
        <v>2</v>
      </c>
      <c r="B7" s="43">
        <v>660000</v>
      </c>
      <c r="C7" s="37">
        <v>260000</v>
      </c>
      <c r="D7" s="38">
        <v>170000</v>
      </c>
      <c r="F7" s="57"/>
    </row>
    <row r="8" spans="1:9" ht="19.899999999999999" customHeight="1" thickBot="1" x14ac:dyDescent="0.2"/>
    <row r="9" spans="1:9" ht="19.899999999999999" customHeight="1" thickBot="1" x14ac:dyDescent="0.2">
      <c r="A9" s="334" t="s">
        <v>34</v>
      </c>
      <c r="B9" s="335"/>
    </row>
    <row r="10" spans="1:9" ht="19.899999999999999" customHeight="1" x14ac:dyDescent="0.15">
      <c r="A10" s="51" t="s">
        <v>28</v>
      </c>
      <c r="B10" s="48">
        <v>430000</v>
      </c>
    </row>
    <row r="11" spans="1:9" ht="19.899999999999999" customHeight="1" x14ac:dyDescent="0.15">
      <c r="A11" s="46" t="s">
        <v>29</v>
      </c>
      <c r="B11" s="49">
        <v>305000</v>
      </c>
      <c r="F11" s="127"/>
      <c r="G11" s="128"/>
      <c r="H11" s="128"/>
      <c r="I11" s="128"/>
    </row>
    <row r="12" spans="1:9" ht="19.899999999999999" customHeight="1" thickBot="1" x14ac:dyDescent="0.2">
      <c r="A12" s="47" t="s">
        <v>30</v>
      </c>
      <c r="B12" s="50">
        <v>560000</v>
      </c>
      <c r="F12" s="127"/>
      <c r="G12" s="128"/>
      <c r="H12" s="128"/>
      <c r="I12" s="128"/>
    </row>
    <row r="13" spans="1:9" ht="19.899999999999999" customHeight="1" x14ac:dyDescent="0.15"/>
    <row r="14" spans="1:9" ht="19.899999999999999" customHeight="1" x14ac:dyDescent="0.15"/>
    <row r="15" spans="1:9" ht="19.899999999999999" customHeight="1" x14ac:dyDescent="0.15"/>
    <row r="16" spans="1:9" ht="19.899999999999999" customHeight="1" x14ac:dyDescent="0.15"/>
    <row r="17" ht="19.899999999999999" customHeight="1" x14ac:dyDescent="0.15"/>
    <row r="18" ht="19.899999999999999" customHeight="1" x14ac:dyDescent="0.15"/>
    <row r="19" ht="19.899999999999999" customHeight="1" x14ac:dyDescent="0.15"/>
    <row r="20" ht="19.899999999999999" customHeight="1" x14ac:dyDescent="0.15"/>
    <row r="21" ht="19.899999999999999" customHeight="1" x14ac:dyDescent="0.15"/>
  </sheetData>
  <sheetProtection algorithmName="SHA-512" hashValue="uSSOkygk4r+vgvxO0TDeEr3Ba1j5Xu8oaVCEAoiIkpuqDM9Np10ErS5Yy2qV8dsFBuFkeY9h7xxHfQ0M9+9X/Q==" saltValue="YERYS+zMFfOADDu8csqbSw==" spinCount="100000" sheet="1" selectLockedCells="1"/>
  <mergeCells count="1">
    <mergeCell ref="A9:B9"/>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59999389629810485"/>
    <outlinePr showOutlineSymbols="0"/>
    <pageSetUpPr fitToPage="1"/>
  </sheetPr>
  <dimension ref="B1:Y51"/>
  <sheetViews>
    <sheetView showGridLines="0" showRowColHeaders="0" tabSelected="1" showOutlineSymbols="0" view="pageBreakPreview" zoomScale="70" zoomScaleNormal="55" zoomScaleSheetLayoutView="70" workbookViewId="0">
      <selection activeCell="H27" sqref="H27"/>
    </sheetView>
  </sheetViews>
  <sheetFormatPr defaultColWidth="9" defaultRowHeight="21" customHeight="1" outlineLevelRow="1" outlineLevelCol="1" x14ac:dyDescent="0.15"/>
  <cols>
    <col min="1" max="1" width="9" style="1" customWidth="1"/>
    <col min="2" max="2" width="8.125" style="1" customWidth="1"/>
    <col min="3" max="3" width="7.375" style="18" hidden="1" customWidth="1" outlineLevel="1"/>
    <col min="4" max="4" width="15.5" style="18" hidden="1" customWidth="1" outlineLevel="1"/>
    <col min="5" max="5" width="13.75" style="133" hidden="1" customWidth="1" outlineLevel="1"/>
    <col min="6" max="6" width="12.125" style="133" hidden="1" customWidth="1" outlineLevel="1"/>
    <col min="7" max="7" width="18.125" style="1" customWidth="1" collapsed="1"/>
    <col min="8" max="8" width="8.875" style="1" customWidth="1"/>
    <col min="9" max="9" width="19.375" style="1" customWidth="1"/>
    <col min="10" max="10" width="22.625" style="18" hidden="1" customWidth="1" outlineLevel="1"/>
    <col min="11" max="11" width="22.875" style="1" customWidth="1" collapsed="1"/>
    <col min="12" max="12" width="22.375" style="1" customWidth="1"/>
    <col min="13" max="13" width="22.75" style="1" hidden="1" customWidth="1"/>
    <col min="14" max="14" width="11.125" style="18" hidden="1" customWidth="1" outlineLevel="1"/>
    <col min="15" max="15" width="14.625" style="1" customWidth="1" collapsed="1"/>
    <col min="16" max="16" width="18" style="1" customWidth="1"/>
    <col min="17" max="17" width="22.75" style="1" customWidth="1"/>
    <col min="18" max="18" width="13.375" style="18" hidden="1" customWidth="1" outlineLevel="1"/>
    <col min="19" max="19" width="14.625" style="18" hidden="1" customWidth="1" outlineLevel="1"/>
    <col min="20" max="20" width="22.5" style="18" hidden="1" customWidth="1" outlineLevel="1"/>
    <col min="21" max="21" width="18.25" style="18" hidden="1" customWidth="1" outlineLevel="1"/>
    <col min="22" max="22" width="18.75" style="1" customWidth="1" collapsed="1"/>
    <col min="23" max="23" width="9" style="1" customWidth="1"/>
    <col min="24" max="24" width="12.125" style="1" customWidth="1"/>
    <col min="25" max="25" width="7.125" style="1" customWidth="1"/>
    <col min="26" max="16384" width="9" style="1"/>
  </cols>
  <sheetData>
    <row r="1" spans="2:25" ht="21" customHeight="1" thickBot="1" x14ac:dyDescent="0.2"/>
    <row r="2" spans="2:25" ht="33.75" customHeight="1" thickBot="1" x14ac:dyDescent="0.2">
      <c r="B2" s="170"/>
      <c r="C2" s="171"/>
      <c r="D2" s="171"/>
      <c r="E2" s="172"/>
      <c r="F2" s="172"/>
      <c r="G2" s="173"/>
      <c r="H2" s="173"/>
      <c r="I2" s="173"/>
      <c r="J2" s="171"/>
      <c r="K2" s="173"/>
      <c r="L2" s="173"/>
      <c r="M2" s="173"/>
      <c r="N2" s="171"/>
      <c r="O2" s="173"/>
      <c r="P2" s="173"/>
      <c r="Q2" s="173"/>
      <c r="R2" s="171"/>
      <c r="S2" s="171"/>
      <c r="T2" s="171"/>
      <c r="U2" s="171"/>
      <c r="V2" s="173"/>
      <c r="W2" s="173"/>
      <c r="X2" s="173"/>
      <c r="Y2" s="174"/>
    </row>
    <row r="3" spans="2:25" ht="60.75" customHeight="1" thickTop="1" thickBot="1" x14ac:dyDescent="0.2">
      <c r="B3" s="175"/>
      <c r="C3" s="132"/>
      <c r="D3" s="132"/>
      <c r="E3" s="135"/>
      <c r="F3" s="135"/>
      <c r="G3" s="374" t="s">
        <v>151</v>
      </c>
      <c r="H3" s="375"/>
      <c r="I3" s="375"/>
      <c r="J3" s="375"/>
      <c r="K3" s="375"/>
      <c r="L3" s="375"/>
      <c r="M3" s="375"/>
      <c r="N3" s="375"/>
      <c r="O3" s="375"/>
      <c r="P3" s="375"/>
      <c r="Q3" s="375"/>
      <c r="R3" s="375"/>
      <c r="S3" s="375"/>
      <c r="T3" s="375"/>
      <c r="U3" s="375"/>
      <c r="V3" s="375"/>
      <c r="W3" s="375"/>
      <c r="X3" s="375"/>
      <c r="Y3" s="216"/>
    </row>
    <row r="4" spans="2:25" ht="84.75" customHeight="1" thickTop="1" thickBot="1" x14ac:dyDescent="0.2">
      <c r="B4" s="175"/>
      <c r="C4" s="132"/>
      <c r="D4" s="132"/>
      <c r="E4" s="135"/>
      <c r="F4" s="135"/>
      <c r="G4" s="376" t="s">
        <v>131</v>
      </c>
      <c r="H4" s="376"/>
      <c r="I4" s="376"/>
      <c r="J4" s="376"/>
      <c r="K4" s="376"/>
      <c r="L4" s="376"/>
      <c r="M4" s="376"/>
      <c r="N4" s="376"/>
      <c r="O4" s="376"/>
      <c r="P4" s="376"/>
      <c r="Q4" s="376"/>
      <c r="R4" s="376"/>
      <c r="S4" s="376"/>
      <c r="T4" s="376"/>
      <c r="U4" s="376"/>
      <c r="V4" s="376"/>
      <c r="W4" s="376"/>
      <c r="X4" s="376"/>
      <c r="Y4" s="176"/>
    </row>
    <row r="5" spans="2:25" ht="33" customHeight="1" x14ac:dyDescent="0.15">
      <c r="B5" s="175"/>
      <c r="C5" s="132"/>
      <c r="D5" s="132"/>
      <c r="E5" s="135"/>
      <c r="F5" s="135"/>
      <c r="G5" s="211" t="s">
        <v>48</v>
      </c>
      <c r="H5" s="192"/>
      <c r="I5" s="192"/>
      <c r="J5" s="219"/>
      <c r="K5" s="192"/>
      <c r="L5" s="192"/>
      <c r="M5" s="192"/>
      <c r="N5" s="219"/>
      <c r="O5" s="192"/>
      <c r="P5" s="192"/>
      <c r="Q5" s="192"/>
      <c r="R5" s="212"/>
      <c r="S5" s="212"/>
      <c r="T5" s="212"/>
      <c r="U5" s="212"/>
      <c r="V5" s="194"/>
      <c r="W5" s="193"/>
      <c r="X5" s="195"/>
      <c r="Y5" s="176"/>
    </row>
    <row r="6" spans="2:25" ht="30" customHeight="1" x14ac:dyDescent="0.15">
      <c r="B6" s="175"/>
      <c r="C6" s="132"/>
      <c r="D6" s="132"/>
      <c r="E6" s="135"/>
      <c r="F6" s="135"/>
      <c r="G6" s="203" t="s">
        <v>105</v>
      </c>
      <c r="H6" s="204"/>
      <c r="I6" s="204"/>
      <c r="J6" s="220"/>
      <c r="K6" s="204"/>
      <c r="L6" s="204"/>
      <c r="M6" s="204"/>
      <c r="N6" s="220"/>
      <c r="O6" s="204"/>
      <c r="P6" s="204"/>
      <c r="Q6" s="204"/>
      <c r="R6" s="213"/>
      <c r="S6" s="213"/>
      <c r="T6" s="213"/>
      <c r="U6" s="213"/>
      <c r="V6" s="206"/>
      <c r="W6" s="205"/>
      <c r="X6" s="207"/>
      <c r="Y6" s="176"/>
    </row>
    <row r="7" spans="2:25" ht="27.75" customHeight="1" x14ac:dyDescent="0.15">
      <c r="B7" s="175"/>
      <c r="C7" s="132"/>
      <c r="D7" s="132"/>
      <c r="E7" s="135"/>
      <c r="F7" s="135"/>
      <c r="G7" s="203" t="s">
        <v>104</v>
      </c>
      <c r="H7" s="205"/>
      <c r="I7" s="205"/>
      <c r="J7" s="213"/>
      <c r="K7" s="205"/>
      <c r="L7" s="205"/>
      <c r="M7" s="205"/>
      <c r="N7" s="213"/>
      <c r="O7" s="205"/>
      <c r="P7" s="205"/>
      <c r="Q7" s="205"/>
      <c r="R7" s="213"/>
      <c r="S7" s="213"/>
      <c r="T7" s="213"/>
      <c r="U7" s="213"/>
      <c r="V7" s="206"/>
      <c r="W7" s="205"/>
      <c r="X7" s="207"/>
      <c r="Y7" s="176"/>
    </row>
    <row r="8" spans="2:25" ht="21" customHeight="1" x14ac:dyDescent="0.15">
      <c r="B8" s="175"/>
      <c r="C8" s="132"/>
      <c r="D8" s="132"/>
      <c r="E8" s="135"/>
      <c r="F8" s="135"/>
      <c r="G8" s="203" t="s">
        <v>106</v>
      </c>
      <c r="H8" s="205"/>
      <c r="I8" s="205"/>
      <c r="J8" s="213"/>
      <c r="K8" s="205"/>
      <c r="L8" s="205"/>
      <c r="M8" s="205"/>
      <c r="N8" s="213"/>
      <c r="O8" s="205"/>
      <c r="P8" s="205"/>
      <c r="Q8" s="205"/>
      <c r="R8" s="213"/>
      <c r="S8" s="213"/>
      <c r="T8" s="213"/>
      <c r="U8" s="213"/>
      <c r="V8" s="205"/>
      <c r="W8" s="205"/>
      <c r="X8" s="207"/>
      <c r="Y8" s="176"/>
    </row>
    <row r="9" spans="2:25" ht="29.25" customHeight="1" x14ac:dyDescent="0.15">
      <c r="B9" s="175"/>
      <c r="C9" s="132"/>
      <c r="D9" s="132"/>
      <c r="E9" s="135"/>
      <c r="F9" s="135"/>
      <c r="G9" s="203" t="s">
        <v>129</v>
      </c>
      <c r="H9" s="205"/>
      <c r="I9" s="205"/>
      <c r="J9" s="213"/>
      <c r="K9" s="205"/>
      <c r="L9" s="205"/>
      <c r="M9" s="205"/>
      <c r="N9" s="213"/>
      <c r="O9" s="205"/>
      <c r="P9" s="205"/>
      <c r="Q9" s="205"/>
      <c r="R9" s="213"/>
      <c r="S9" s="213"/>
      <c r="T9" s="213"/>
      <c r="U9" s="213"/>
      <c r="V9" s="205"/>
      <c r="W9" s="205"/>
      <c r="X9" s="207"/>
      <c r="Y9" s="176"/>
    </row>
    <row r="10" spans="2:25" ht="32.25" customHeight="1" x14ac:dyDescent="0.15">
      <c r="B10" s="175"/>
      <c r="C10" s="132"/>
      <c r="D10" s="132"/>
      <c r="E10" s="135"/>
      <c r="F10" s="135"/>
      <c r="G10" s="203" t="s">
        <v>128</v>
      </c>
      <c r="H10" s="205"/>
      <c r="I10" s="205"/>
      <c r="J10" s="213"/>
      <c r="K10" s="205"/>
      <c r="L10" s="205"/>
      <c r="M10" s="205"/>
      <c r="N10" s="213"/>
      <c r="O10" s="205"/>
      <c r="P10" s="205"/>
      <c r="Q10" s="205"/>
      <c r="R10" s="213"/>
      <c r="S10" s="213"/>
      <c r="T10" s="213"/>
      <c r="U10" s="213"/>
      <c r="V10" s="205"/>
      <c r="W10" s="205"/>
      <c r="X10" s="207"/>
      <c r="Y10" s="176"/>
    </row>
    <row r="11" spans="2:25" ht="27.75" customHeight="1" x14ac:dyDescent="0.15">
      <c r="B11" s="175"/>
      <c r="C11" s="132"/>
      <c r="D11" s="132"/>
      <c r="E11" s="135"/>
      <c r="F11" s="135"/>
      <c r="G11" s="203" t="s">
        <v>107</v>
      </c>
      <c r="H11" s="205"/>
      <c r="I11" s="205"/>
      <c r="J11" s="213"/>
      <c r="K11" s="205"/>
      <c r="L11" s="205"/>
      <c r="M11" s="205"/>
      <c r="N11" s="213"/>
      <c r="O11" s="205"/>
      <c r="P11" s="205"/>
      <c r="Q11" s="205"/>
      <c r="R11" s="213"/>
      <c r="S11" s="213"/>
      <c r="T11" s="213"/>
      <c r="U11" s="213"/>
      <c r="V11" s="205"/>
      <c r="W11" s="205"/>
      <c r="X11" s="207"/>
      <c r="Y11" s="176"/>
    </row>
    <row r="12" spans="2:25" ht="24.75" customHeight="1" x14ac:dyDescent="0.15">
      <c r="B12" s="175"/>
      <c r="C12" s="132"/>
      <c r="D12" s="132"/>
      <c r="E12" s="135"/>
      <c r="F12" s="135"/>
      <c r="G12" s="203" t="s">
        <v>146</v>
      </c>
      <c r="H12" s="205"/>
      <c r="I12" s="205"/>
      <c r="J12" s="213"/>
      <c r="K12" s="205"/>
      <c r="L12" s="205"/>
      <c r="M12" s="205"/>
      <c r="N12" s="213"/>
      <c r="O12" s="205"/>
      <c r="P12" s="205"/>
      <c r="Q12" s="205"/>
      <c r="R12" s="213"/>
      <c r="S12" s="213"/>
      <c r="T12" s="213"/>
      <c r="U12" s="213"/>
      <c r="V12" s="205"/>
      <c r="W12" s="205"/>
      <c r="X12" s="207"/>
      <c r="Y12" s="176"/>
    </row>
    <row r="13" spans="2:25" ht="21" customHeight="1" x14ac:dyDescent="0.15">
      <c r="B13" s="175"/>
      <c r="C13" s="132"/>
      <c r="D13" s="132"/>
      <c r="E13" s="135"/>
      <c r="F13" s="135"/>
      <c r="G13" s="203" t="s">
        <v>130</v>
      </c>
      <c r="H13" s="205"/>
      <c r="I13" s="205"/>
      <c r="J13" s="213"/>
      <c r="K13" s="205"/>
      <c r="L13" s="205"/>
      <c r="M13" s="205"/>
      <c r="N13" s="213"/>
      <c r="O13" s="205"/>
      <c r="P13" s="205"/>
      <c r="Q13" s="205"/>
      <c r="R13" s="213"/>
      <c r="S13" s="213"/>
      <c r="T13" s="213"/>
      <c r="U13" s="213"/>
      <c r="V13" s="205"/>
      <c r="W13" s="205"/>
      <c r="X13" s="207"/>
      <c r="Y13" s="176"/>
    </row>
    <row r="14" spans="2:25" ht="28.5" customHeight="1" x14ac:dyDescent="0.15">
      <c r="B14" s="175"/>
      <c r="C14" s="132"/>
      <c r="D14" s="132"/>
      <c r="E14" s="135"/>
      <c r="F14" s="135"/>
      <c r="G14" s="203" t="s">
        <v>132</v>
      </c>
      <c r="H14" s="205"/>
      <c r="I14" s="205"/>
      <c r="J14" s="213"/>
      <c r="K14" s="205"/>
      <c r="L14" s="205"/>
      <c r="M14" s="205"/>
      <c r="N14" s="213"/>
      <c r="O14" s="205"/>
      <c r="P14" s="205"/>
      <c r="Q14" s="205"/>
      <c r="R14" s="213"/>
      <c r="S14" s="213"/>
      <c r="T14" s="213"/>
      <c r="U14" s="213"/>
      <c r="V14" s="205"/>
      <c r="W14" s="205"/>
      <c r="X14" s="207"/>
      <c r="Y14" s="176"/>
    </row>
    <row r="15" spans="2:25" s="196" customFormat="1" ht="24.75" customHeight="1" thickBot="1" x14ac:dyDescent="0.2">
      <c r="B15" s="197"/>
      <c r="C15" s="198"/>
      <c r="D15" s="198"/>
      <c r="E15" s="199"/>
      <c r="F15" s="199"/>
      <c r="G15" s="208" t="s">
        <v>133</v>
      </c>
      <c r="H15" s="209"/>
      <c r="I15" s="209"/>
      <c r="J15" s="214"/>
      <c r="K15" s="209"/>
      <c r="L15" s="209"/>
      <c r="M15" s="209"/>
      <c r="N15" s="214"/>
      <c r="O15" s="209"/>
      <c r="P15" s="209"/>
      <c r="Q15" s="209"/>
      <c r="R15" s="214"/>
      <c r="S15" s="214"/>
      <c r="T15" s="214"/>
      <c r="U15" s="214"/>
      <c r="V15" s="209"/>
      <c r="W15" s="209"/>
      <c r="X15" s="210"/>
      <c r="Y15" s="200"/>
    </row>
    <row r="16" spans="2:25" s="80" customFormat="1" ht="22.5" customHeight="1" thickBot="1" x14ac:dyDescent="0.2">
      <c r="B16" s="175"/>
      <c r="C16" s="132"/>
      <c r="D16" s="132"/>
      <c r="E16" s="135"/>
      <c r="F16" s="135"/>
      <c r="G16" s="177"/>
      <c r="H16" s="177"/>
      <c r="I16" s="177"/>
      <c r="J16" s="221"/>
      <c r="K16" s="177"/>
      <c r="L16" s="177"/>
      <c r="M16" s="177"/>
      <c r="N16" s="221"/>
      <c r="O16" s="177"/>
      <c r="P16" s="177"/>
      <c r="Q16" s="177"/>
      <c r="R16" s="221"/>
      <c r="S16" s="221"/>
      <c r="T16" s="221"/>
      <c r="U16" s="221"/>
      <c r="V16" s="148"/>
      <c r="W16" s="148"/>
      <c r="X16" s="148"/>
      <c r="Y16" s="176"/>
    </row>
    <row r="17" spans="2:25" ht="35.25" customHeight="1" x14ac:dyDescent="0.15">
      <c r="B17" s="178"/>
      <c r="C17" s="179"/>
      <c r="D17" s="179"/>
      <c r="E17" s="180"/>
      <c r="F17" s="180"/>
      <c r="G17" s="292" t="s">
        <v>140</v>
      </c>
      <c r="H17" s="162"/>
      <c r="I17" s="163"/>
      <c r="J17" s="222"/>
      <c r="K17" s="164"/>
      <c r="L17" s="150"/>
      <c r="M17" s="311"/>
      <c r="N17" s="223"/>
      <c r="O17" s="150"/>
      <c r="P17" s="379" t="s">
        <v>122</v>
      </c>
      <c r="Q17" s="380"/>
      <c r="R17" s="225"/>
      <c r="S17" s="225"/>
      <c r="T17" s="225"/>
      <c r="U17" s="225"/>
      <c r="V17" s="381" t="s">
        <v>127</v>
      </c>
      <c r="W17" s="382"/>
      <c r="X17" s="383"/>
      <c r="Y17" s="176"/>
    </row>
    <row r="18" spans="2:25" ht="21" customHeight="1" x14ac:dyDescent="0.15">
      <c r="B18" s="178"/>
      <c r="C18" s="179"/>
      <c r="D18" s="179"/>
      <c r="E18" s="180"/>
      <c r="F18" s="180"/>
      <c r="G18" s="291" t="s">
        <v>114</v>
      </c>
      <c r="H18" s="145"/>
      <c r="I18" s="145"/>
      <c r="J18" s="223"/>
      <c r="K18" s="151"/>
      <c r="L18" s="150"/>
      <c r="M18" s="145"/>
      <c r="N18" s="223"/>
      <c r="O18" s="150"/>
      <c r="P18" s="156"/>
      <c r="Q18" s="165"/>
      <c r="R18" s="226"/>
      <c r="S18" s="226"/>
      <c r="T18" s="226"/>
      <c r="U18" s="226"/>
      <c r="V18" s="201"/>
      <c r="W18" s="147"/>
      <c r="X18" s="157"/>
      <c r="Y18" s="176"/>
    </row>
    <row r="19" spans="2:25" ht="21" customHeight="1" x14ac:dyDescent="0.15">
      <c r="B19" s="178"/>
      <c r="C19" s="179"/>
      <c r="D19" s="179"/>
      <c r="E19" s="180"/>
      <c r="F19" s="180"/>
      <c r="G19" s="168" t="s">
        <v>116</v>
      </c>
      <c r="H19" s="152"/>
      <c r="I19" s="152"/>
      <c r="J19" s="179"/>
      <c r="K19" s="153"/>
      <c r="L19" s="181"/>
      <c r="M19" s="152"/>
      <c r="N19" s="179"/>
      <c r="O19" s="181"/>
      <c r="P19" s="158"/>
      <c r="Q19" s="166"/>
      <c r="R19" s="179"/>
      <c r="S19" s="179"/>
      <c r="T19" s="179"/>
      <c r="U19" s="179"/>
      <c r="V19" s="201"/>
      <c r="W19" s="147"/>
      <c r="X19" s="157"/>
      <c r="Y19" s="176"/>
    </row>
    <row r="20" spans="2:25" ht="21" customHeight="1" x14ac:dyDescent="0.15">
      <c r="B20" s="178"/>
      <c r="C20" s="179"/>
      <c r="D20" s="179"/>
      <c r="E20" s="180"/>
      <c r="F20" s="180"/>
      <c r="G20" s="291" t="s">
        <v>112</v>
      </c>
      <c r="H20" s="152"/>
      <c r="I20" s="152"/>
      <c r="J20" s="179"/>
      <c r="K20" s="153"/>
      <c r="L20" s="181"/>
      <c r="M20" s="152"/>
      <c r="N20" s="179"/>
      <c r="O20" s="181"/>
      <c r="P20" s="158"/>
      <c r="Q20" s="166"/>
      <c r="R20" s="179"/>
      <c r="S20" s="179"/>
      <c r="T20" s="179"/>
      <c r="U20" s="179"/>
      <c r="V20" s="201"/>
      <c r="W20" s="147"/>
      <c r="X20" s="157"/>
      <c r="Y20" s="176"/>
    </row>
    <row r="21" spans="2:25" ht="21" customHeight="1" x14ac:dyDescent="0.15">
      <c r="B21" s="178"/>
      <c r="C21" s="179"/>
      <c r="D21" s="179"/>
      <c r="E21" s="180"/>
      <c r="F21" s="180"/>
      <c r="G21" s="168" t="s">
        <v>117</v>
      </c>
      <c r="H21" s="152"/>
      <c r="I21" s="152"/>
      <c r="J21" s="179"/>
      <c r="K21" s="153"/>
      <c r="L21" s="181"/>
      <c r="M21" s="152"/>
      <c r="N21" s="179"/>
      <c r="O21" s="181"/>
      <c r="P21" s="158"/>
      <c r="Q21" s="166"/>
      <c r="R21" s="179"/>
      <c r="S21" s="179"/>
      <c r="T21" s="179"/>
      <c r="U21" s="179"/>
      <c r="V21" s="201"/>
      <c r="W21" s="147"/>
      <c r="X21" s="157"/>
      <c r="Y21" s="176"/>
    </row>
    <row r="22" spans="2:25" ht="36.75" customHeight="1" thickBot="1" x14ac:dyDescent="0.2">
      <c r="B22" s="178"/>
      <c r="C22" s="179"/>
      <c r="D22" s="179"/>
      <c r="E22" s="180"/>
      <c r="F22" s="180"/>
      <c r="G22" s="169" t="s">
        <v>123</v>
      </c>
      <c r="H22" s="154"/>
      <c r="I22" s="154"/>
      <c r="J22" s="224"/>
      <c r="K22" s="155"/>
      <c r="L22" s="181"/>
      <c r="M22" s="152"/>
      <c r="N22" s="179"/>
      <c r="O22" s="181"/>
      <c r="P22" s="159"/>
      <c r="Q22" s="167"/>
      <c r="R22" s="224"/>
      <c r="S22" s="224"/>
      <c r="T22" s="224"/>
      <c r="U22" s="224"/>
      <c r="V22" s="202"/>
      <c r="W22" s="160"/>
      <c r="X22" s="161"/>
      <c r="Y22" s="176"/>
    </row>
    <row r="23" spans="2:25" ht="19.5" customHeight="1" x14ac:dyDescent="0.15">
      <c r="B23" s="178"/>
      <c r="C23" s="179"/>
      <c r="D23" s="179"/>
      <c r="E23" s="180"/>
      <c r="F23" s="180"/>
      <c r="G23" s="181"/>
      <c r="H23" s="181"/>
      <c r="I23" s="181"/>
      <c r="J23" s="179"/>
      <c r="K23" s="181"/>
      <c r="L23" s="181"/>
      <c r="M23" s="181"/>
      <c r="N23" s="179"/>
      <c r="O23" s="181"/>
      <c r="P23" s="181"/>
      <c r="Q23" s="181"/>
      <c r="R23" s="179"/>
      <c r="S23" s="179"/>
      <c r="T23" s="179"/>
      <c r="U23" s="179"/>
      <c r="V23" s="148"/>
      <c r="W23" s="148"/>
      <c r="X23" s="148"/>
      <c r="Y23" s="176"/>
    </row>
    <row r="24" spans="2:25" ht="54" customHeight="1" thickBot="1" x14ac:dyDescent="0.2">
      <c r="B24" s="178"/>
      <c r="C24" s="179"/>
      <c r="D24" s="179"/>
      <c r="E24" s="180"/>
      <c r="F24" s="180"/>
      <c r="G24" s="191" t="s">
        <v>115</v>
      </c>
      <c r="H24" s="181"/>
      <c r="I24" s="277" t="s">
        <v>111</v>
      </c>
      <c r="J24" s="179"/>
      <c r="K24" s="181"/>
      <c r="L24" s="321" t="s">
        <v>148</v>
      </c>
      <c r="M24" s="181"/>
      <c r="N24" s="179"/>
      <c r="O24" s="181"/>
      <c r="P24" s="181"/>
      <c r="Q24" s="148"/>
      <c r="R24" s="179"/>
      <c r="S24" s="179"/>
      <c r="T24" s="179"/>
      <c r="U24" s="179"/>
      <c r="V24" s="182"/>
      <c r="W24" s="148"/>
      <c r="X24" s="148" t="s">
        <v>147</v>
      </c>
      <c r="Y24" s="176"/>
    </row>
    <row r="25" spans="2:25" ht="21" customHeight="1" thickBot="1" x14ac:dyDescent="0.2">
      <c r="B25" s="178"/>
      <c r="C25" s="179"/>
      <c r="D25" s="179"/>
      <c r="E25" s="180"/>
      <c r="F25" s="180"/>
      <c r="G25" s="369" t="s">
        <v>119</v>
      </c>
      <c r="H25" s="385" t="s">
        <v>139</v>
      </c>
      <c r="I25" s="339" t="s">
        <v>160</v>
      </c>
      <c r="J25" s="341" t="s">
        <v>97</v>
      </c>
      <c r="K25" s="345" t="s">
        <v>161</v>
      </c>
      <c r="L25" s="345" t="s">
        <v>162</v>
      </c>
      <c r="M25" s="372" t="s">
        <v>144</v>
      </c>
      <c r="N25" s="343" t="s">
        <v>98</v>
      </c>
      <c r="O25" s="347" t="s">
        <v>78</v>
      </c>
      <c r="P25" s="345" t="s">
        <v>109</v>
      </c>
      <c r="Q25" s="363" t="s">
        <v>163</v>
      </c>
      <c r="R25" s="387" t="s">
        <v>120</v>
      </c>
      <c r="S25" s="227" t="s">
        <v>25</v>
      </c>
      <c r="T25" s="228" t="s">
        <v>26</v>
      </c>
      <c r="U25" s="229" t="s">
        <v>27</v>
      </c>
      <c r="V25" s="351" t="s">
        <v>108</v>
      </c>
      <c r="W25" s="377" t="s">
        <v>121</v>
      </c>
      <c r="X25" s="384"/>
      <c r="Y25" s="176"/>
    </row>
    <row r="26" spans="2:25" ht="26.25" customHeight="1" thickBot="1" x14ac:dyDescent="0.2">
      <c r="B26" s="178"/>
      <c r="C26" s="268" t="s">
        <v>137</v>
      </c>
      <c r="D26" s="268" t="s">
        <v>136</v>
      </c>
      <c r="E26" s="269" t="s">
        <v>135</v>
      </c>
      <c r="F26" s="270" t="s">
        <v>134</v>
      </c>
      <c r="G26" s="370"/>
      <c r="H26" s="386"/>
      <c r="I26" s="340"/>
      <c r="J26" s="342"/>
      <c r="K26" s="346"/>
      <c r="L26" s="346"/>
      <c r="M26" s="373"/>
      <c r="N26" s="344"/>
      <c r="O26" s="348"/>
      <c r="P26" s="346"/>
      <c r="Q26" s="364"/>
      <c r="R26" s="388"/>
      <c r="S26" s="230" t="s">
        <v>5</v>
      </c>
      <c r="T26" s="231" t="s">
        <v>35</v>
      </c>
      <c r="U26" s="232" t="s">
        <v>6</v>
      </c>
      <c r="V26" s="352"/>
      <c r="W26" s="378"/>
      <c r="X26" s="384"/>
      <c r="Y26" s="176"/>
    </row>
    <row r="27" spans="2:25" ht="44.25" customHeight="1" thickBot="1" x14ac:dyDescent="0.2">
      <c r="B27" s="178"/>
      <c r="C27" s="261" t="str">
        <f>IF(OR(D27=1,D27=2,D27=3,D27=4,G27="(未選択)"),"NG","")</f>
        <v>NG</v>
      </c>
      <c r="D27" s="261">
        <f>COUNTA(H27,I27,K27,L27,P27,G27)</f>
        <v>1</v>
      </c>
      <c r="E27" s="262" t="str">
        <f>IF(AND(I27&gt;0,K27&gt;0,I27+K27&gt;100000),"〇","")</f>
        <v/>
      </c>
      <c r="F27" s="271" t="str">
        <f>IF(OR(I27&gt;0,K27&gt;0),"□","")</f>
        <v/>
      </c>
      <c r="G27" s="305" t="s">
        <v>150</v>
      </c>
      <c r="H27" s="304"/>
      <c r="I27" s="293"/>
      <c r="J27" s="294">
        <f>IF(I27&gt;=100000,100000,I27)</f>
        <v>0</v>
      </c>
      <c r="K27" s="236"/>
      <c r="L27" s="312"/>
      <c r="M27" s="295" t="str">
        <f>IF(SUM(K27+L27)&lt;=0,"0",SUM(K27+L27))</f>
        <v>0</v>
      </c>
      <c r="N27" s="295">
        <f>IF(K27&gt;=100000,100000,K27)</f>
        <v>0</v>
      </c>
      <c r="O27" s="296" t="str">
        <f>IF(E27="〇",J27+N27-100000,"0")</f>
        <v>0</v>
      </c>
      <c r="P27" s="236"/>
      <c r="Q27" s="297" t="str">
        <f>IF(SUM(I27+M27-O27+P27)&lt;=0,"0",SUM(I27+M27-O27+P27))</f>
        <v>0</v>
      </c>
      <c r="R27" s="237">
        <f>IF(Q27-設定!$B$2&lt;=0,0,Q27-設定!$B$2)</f>
        <v>0</v>
      </c>
      <c r="S27" s="298">
        <f>IF(ISERROR(試算結果詳細!C16+試算結果詳細!D16),"",試算結果詳細!C16+試算結果詳細!D16)</f>
        <v>47300</v>
      </c>
      <c r="T27" s="299">
        <f>IF(ISERROR(試算結果詳細!E16+試算結果詳細!F16),"",試算結果詳細!E16+試算結果詳細!F16)</f>
        <v>16800</v>
      </c>
      <c r="U27" s="298">
        <f>IF(ISERROR(試算結果詳細!G16+試算結果詳細!H16),"",試算結果詳細!G16+試算結果詳細!H16)</f>
        <v>0</v>
      </c>
      <c r="V27" s="300" t="str">
        <f>IF(OR(H27="",G27&lt;&gt;"国民健康保険",W27="NG"),"",SUM(S27:U27))</f>
        <v/>
      </c>
      <c r="W27" s="260" t="str">
        <f>IF(OR(D27=1,D27=2,D27=3,G27="(未選択)",D27=4,D27=5),"NG",IF(D27=0,"","OK"))</f>
        <v>NG</v>
      </c>
      <c r="X27" s="148"/>
      <c r="Y27" s="176"/>
    </row>
    <row r="28" spans="2:25" ht="54" customHeight="1" thickBot="1" x14ac:dyDescent="0.2">
      <c r="B28" s="175"/>
      <c r="C28" s="132"/>
      <c r="D28" s="132"/>
      <c r="E28" s="135"/>
      <c r="F28" s="135"/>
      <c r="G28" s="191" t="s">
        <v>113</v>
      </c>
      <c r="H28" s="148"/>
      <c r="I28" s="338" t="s">
        <v>164</v>
      </c>
      <c r="J28" s="338"/>
      <c r="K28" s="338"/>
      <c r="L28" s="338"/>
      <c r="M28" s="338"/>
      <c r="N28" s="338"/>
      <c r="O28" s="338"/>
      <c r="P28" s="338"/>
      <c r="Q28" s="338"/>
      <c r="R28" s="338"/>
      <c r="S28" s="338"/>
      <c r="T28" s="338"/>
      <c r="U28" s="338"/>
      <c r="V28" s="338"/>
      <c r="W28" s="338"/>
      <c r="X28" s="338"/>
      <c r="Y28" s="176"/>
    </row>
    <row r="29" spans="2:25" ht="24.95" customHeight="1" thickBot="1" x14ac:dyDescent="0.2">
      <c r="B29" s="175"/>
      <c r="C29" s="132"/>
      <c r="D29" s="132"/>
      <c r="E29" s="135"/>
      <c r="F29" s="135"/>
      <c r="G29" s="357" t="s">
        <v>103</v>
      </c>
      <c r="H29" s="359" t="s">
        <v>139</v>
      </c>
      <c r="I29" s="347" t="s">
        <v>165</v>
      </c>
      <c r="J29" s="349" t="s">
        <v>97</v>
      </c>
      <c r="K29" s="347" t="s">
        <v>166</v>
      </c>
      <c r="L29" s="345" t="s">
        <v>162</v>
      </c>
      <c r="M29" s="372" t="s">
        <v>144</v>
      </c>
      <c r="N29" s="349" t="s">
        <v>98</v>
      </c>
      <c r="O29" s="347" t="s">
        <v>78</v>
      </c>
      <c r="P29" s="345" t="s">
        <v>110</v>
      </c>
      <c r="Q29" s="347" t="s">
        <v>163</v>
      </c>
      <c r="R29" s="336" t="s">
        <v>4</v>
      </c>
      <c r="S29" s="278" t="s">
        <v>25</v>
      </c>
      <c r="T29" s="279" t="s">
        <v>26</v>
      </c>
      <c r="U29" s="280" t="s">
        <v>27</v>
      </c>
      <c r="V29" s="357" t="s">
        <v>11</v>
      </c>
      <c r="W29" s="353" t="s">
        <v>121</v>
      </c>
      <c r="X29" s="355" t="s">
        <v>138</v>
      </c>
      <c r="Y29" s="176"/>
    </row>
    <row r="30" spans="2:25" s="2" customFormat="1" ht="24.95" customHeight="1" thickBot="1" x14ac:dyDescent="0.2">
      <c r="B30" s="183"/>
      <c r="C30" s="131"/>
      <c r="D30" s="131"/>
      <c r="E30" s="134"/>
      <c r="F30" s="134"/>
      <c r="G30" s="371"/>
      <c r="H30" s="360"/>
      <c r="I30" s="348"/>
      <c r="J30" s="350"/>
      <c r="K30" s="348"/>
      <c r="L30" s="346"/>
      <c r="M30" s="373"/>
      <c r="N30" s="350"/>
      <c r="O30" s="348"/>
      <c r="P30" s="346"/>
      <c r="Q30" s="348"/>
      <c r="R30" s="337"/>
      <c r="S30" s="281" t="s">
        <v>5</v>
      </c>
      <c r="T30" s="282" t="s">
        <v>35</v>
      </c>
      <c r="U30" s="283" t="s">
        <v>6</v>
      </c>
      <c r="V30" s="358"/>
      <c r="W30" s="354"/>
      <c r="X30" s="356"/>
      <c r="Y30" s="184"/>
    </row>
    <row r="31" spans="2:25" ht="23.1" customHeight="1" thickBot="1" x14ac:dyDescent="0.2">
      <c r="B31" s="175"/>
      <c r="C31" s="261" t="str">
        <f>IF(OR(D31=1,D31=2,D31=3,),"NG","")</f>
        <v/>
      </c>
      <c r="D31" s="261">
        <f>COUNTA(H31,I31,K31,L31,P31)</f>
        <v>0</v>
      </c>
      <c r="E31" s="262" t="str">
        <f t="shared" ref="E31:E38" si="0">IF(AND(I31&gt;0,K31&gt;0,I31+K31&gt;100000),"〇","")</f>
        <v/>
      </c>
      <c r="F31" s="271" t="str">
        <f t="shared" ref="F31:F38" si="1">IF(OR(I31&gt;0,K31&gt;0),"□","")</f>
        <v/>
      </c>
      <c r="G31" s="273">
        <v>1</v>
      </c>
      <c r="H31" s="274"/>
      <c r="I31" s="240"/>
      <c r="J31" s="241">
        <f>IF(I31&gt;=100000,100000,I31)</f>
        <v>0</v>
      </c>
      <c r="K31" s="240"/>
      <c r="L31" s="240"/>
      <c r="M31" s="313" t="str">
        <f>IF(SUM(K31+L31)&lt;=0,"0",SUM(K31+L31))</f>
        <v>0</v>
      </c>
      <c r="N31" s="245">
        <f>IF(K31&gt;=100000,100000,K31)</f>
        <v>0</v>
      </c>
      <c r="O31" s="246" t="str">
        <f t="shared" ref="O31:O38" si="2">IF(E31="〇",J31+N31-100000,"0")</f>
        <v>0</v>
      </c>
      <c r="P31" s="247"/>
      <c r="Q31" s="248" t="str">
        <f>IF(SUM(I31+M31-O31+P31)&lt;=0,"0",SUM(I31+M31-O31+P31))</f>
        <v>0</v>
      </c>
      <c r="R31" s="249">
        <f>IF(Q31-設定!$B$2&lt;=0,0,Q31-設定!$B$2)</f>
        <v>0</v>
      </c>
      <c r="S31" s="238" t="str">
        <f>IF(ISERROR(試算結果詳細!C17+試算結果詳細!D17),"",試算結果詳細!C17+試算結果詳細!D17)</f>
        <v/>
      </c>
      <c r="T31" s="239" t="str">
        <f>IF(ISERROR(試算結果詳細!E17+試算結果詳細!F17),"",試算結果詳細!E17+試算結果詳細!F17)</f>
        <v/>
      </c>
      <c r="U31" s="238" t="str">
        <f>IF(ISERROR(試算結果詳細!G17+試算結果詳細!H17),"",試算結果詳細!G17+試算結果詳細!H17)</f>
        <v/>
      </c>
      <c r="V31" s="302" t="str">
        <f>IF(OR(W31="NG",W31=""),"",SUM(S31:U31))</f>
        <v/>
      </c>
      <c r="W31" s="318" t="str">
        <f>IF(OR(D31=1,D31=2,D31=3,D31=4),"NG",IF(D31=0,"","OK"))</f>
        <v/>
      </c>
      <c r="X31" s="314" t="str">
        <f t="shared" ref="X31:X38" si="3">IF(AND(H31&lt;7,H31&gt;=0,H31&lt;&gt;""),"〇","")</f>
        <v/>
      </c>
      <c r="Y31" s="176"/>
    </row>
    <row r="32" spans="2:25" ht="23.1" customHeight="1" thickBot="1" x14ac:dyDescent="0.2">
      <c r="B32" s="175"/>
      <c r="C32" s="261" t="str">
        <f t="shared" ref="C32:C38" si="4">IF(OR(D32=1,D32=2,D32=3,),"NG","")</f>
        <v/>
      </c>
      <c r="D32" s="261">
        <f t="shared" ref="D32:D38" si="5">COUNTA(H32,I32,K32,L32,P32)</f>
        <v>0</v>
      </c>
      <c r="E32" s="262" t="str">
        <f t="shared" si="0"/>
        <v/>
      </c>
      <c r="F32" s="271" t="str">
        <f t="shared" si="1"/>
        <v/>
      </c>
      <c r="G32" s="70">
        <v>2</v>
      </c>
      <c r="H32" s="275"/>
      <c r="I32" s="242"/>
      <c r="J32" s="241">
        <f t="shared" ref="J32:J33" si="6">IF(I32&gt;=100000,100000,I32)</f>
        <v>0</v>
      </c>
      <c r="K32" s="243"/>
      <c r="L32" s="243"/>
      <c r="M32" s="313" t="str">
        <f>IF(SUM(K32+L32)&lt;=0,"0",SUM(K32+L32))</f>
        <v>0</v>
      </c>
      <c r="N32" s="241">
        <f t="shared" ref="N32:N38" si="7">IF(K32&gt;=100000,100000,K32)</f>
        <v>0</v>
      </c>
      <c r="O32" s="250" t="str">
        <f t="shared" si="2"/>
        <v>0</v>
      </c>
      <c r="P32" s="251"/>
      <c r="Q32" s="248" t="str">
        <f t="shared" ref="Q32:Q38" si="8">IF(SUM(I32+M32-O32+P32)&lt;=0,"0",SUM(I32+M32-O32+P32))</f>
        <v>0</v>
      </c>
      <c r="R32" s="249">
        <f>IF(Q32-設定!$B$2&lt;=0,0,Q32-設定!$B$2)</f>
        <v>0</v>
      </c>
      <c r="S32" s="252" t="str">
        <f>IF(ISERROR(試算結果詳細!C18+試算結果詳細!D18),"",試算結果詳細!C18+試算結果詳細!D18)</f>
        <v/>
      </c>
      <c r="T32" s="253" t="str">
        <f>IF(ISERROR(試算結果詳細!E18+試算結果詳細!F18),"",試算結果詳細!E18+試算結果詳細!F18)</f>
        <v/>
      </c>
      <c r="U32" s="254" t="str">
        <f>IF(ISERROR(試算結果詳細!G18+試算結果詳細!H18),"",試算結果詳細!G18+試算結果詳細!H18)</f>
        <v/>
      </c>
      <c r="V32" s="301" t="str">
        <f t="shared" ref="V32:V38" si="9">IF(OR(W32="NG",W32=""),"",SUM(S32:U32))</f>
        <v/>
      </c>
      <c r="W32" s="317" t="str">
        <f t="shared" ref="W32:W38" si="10">IF(OR(D32=1,D32=2,D32=3,D32=4),"NG",IF(D32=0,"","OK"))</f>
        <v/>
      </c>
      <c r="X32" s="315" t="str">
        <f t="shared" si="3"/>
        <v/>
      </c>
      <c r="Y32" s="176"/>
    </row>
    <row r="33" spans="2:25" ht="23.1" customHeight="1" thickBot="1" x14ac:dyDescent="0.2">
      <c r="B33" s="175"/>
      <c r="C33" s="261" t="str">
        <f t="shared" si="4"/>
        <v/>
      </c>
      <c r="D33" s="261">
        <f t="shared" si="5"/>
        <v>0</v>
      </c>
      <c r="E33" s="262" t="str">
        <f t="shared" si="0"/>
        <v/>
      </c>
      <c r="F33" s="271" t="str">
        <f t="shared" si="1"/>
        <v/>
      </c>
      <c r="G33" s="70">
        <v>3</v>
      </c>
      <c r="H33" s="275"/>
      <c r="I33" s="243"/>
      <c r="J33" s="241">
        <f t="shared" si="6"/>
        <v>0</v>
      </c>
      <c r="K33" s="243"/>
      <c r="L33" s="243"/>
      <c r="M33" s="313" t="str">
        <f t="shared" ref="M33:M38" si="11">IF(SUM(K33+L33)&lt;=0,"0",SUM(K33+L33))</f>
        <v>0</v>
      </c>
      <c r="N33" s="241">
        <f t="shared" si="7"/>
        <v>0</v>
      </c>
      <c r="O33" s="250" t="str">
        <f t="shared" si="2"/>
        <v>0</v>
      </c>
      <c r="P33" s="243"/>
      <c r="Q33" s="333" t="str">
        <f t="shared" si="8"/>
        <v>0</v>
      </c>
      <c r="R33" s="249">
        <f>IF(Q33-設定!$B$2&lt;=0,0,Q33-設定!$B$2)</f>
        <v>0</v>
      </c>
      <c r="S33" s="252" t="str">
        <f>IF(ISERROR(試算結果詳細!C19+試算結果詳細!D19),"",試算結果詳細!C19+試算結果詳細!D19)</f>
        <v/>
      </c>
      <c r="T33" s="253" t="str">
        <f>IF(ISERROR(試算結果詳細!E19+試算結果詳細!F19),"",試算結果詳細!E19+試算結果詳細!F19)</f>
        <v/>
      </c>
      <c r="U33" s="254" t="str">
        <f>IF(ISERROR(試算結果詳細!G19+試算結果詳細!H19),"",試算結果詳細!G19+試算結果詳細!H19)</f>
        <v/>
      </c>
      <c r="V33" s="301" t="str">
        <f t="shared" si="9"/>
        <v/>
      </c>
      <c r="W33" s="317" t="str">
        <f t="shared" si="10"/>
        <v/>
      </c>
      <c r="X33" s="315" t="str">
        <f t="shared" si="3"/>
        <v/>
      </c>
      <c r="Y33" s="176"/>
    </row>
    <row r="34" spans="2:25" ht="23.1" customHeight="1" thickBot="1" x14ac:dyDescent="0.2">
      <c r="B34" s="175"/>
      <c r="C34" s="261" t="str">
        <f t="shared" si="4"/>
        <v/>
      </c>
      <c r="D34" s="261">
        <f t="shared" si="5"/>
        <v>0</v>
      </c>
      <c r="E34" s="262" t="str">
        <f t="shared" si="0"/>
        <v/>
      </c>
      <c r="F34" s="271" t="str">
        <f t="shared" si="1"/>
        <v/>
      </c>
      <c r="G34" s="70">
        <v>4</v>
      </c>
      <c r="H34" s="275"/>
      <c r="I34" s="243"/>
      <c r="J34" s="241">
        <f t="shared" ref="J34:J38" si="12">IF(I34&gt;=100000,100000,I34)</f>
        <v>0</v>
      </c>
      <c r="K34" s="243"/>
      <c r="L34" s="243"/>
      <c r="M34" s="313" t="str">
        <f t="shared" si="11"/>
        <v>0</v>
      </c>
      <c r="N34" s="241">
        <f t="shared" si="7"/>
        <v>0</v>
      </c>
      <c r="O34" s="250" t="str">
        <f t="shared" si="2"/>
        <v>0</v>
      </c>
      <c r="P34" s="243"/>
      <c r="Q34" s="333" t="str">
        <f t="shared" si="8"/>
        <v>0</v>
      </c>
      <c r="R34" s="249">
        <f>IF(Q34-設定!$B$2&lt;=0,0,Q34-設定!$B$2)</f>
        <v>0</v>
      </c>
      <c r="S34" s="252" t="str">
        <f>IF(ISERROR(試算結果詳細!C20+試算結果詳細!D20),"",試算結果詳細!C20+試算結果詳細!D20)</f>
        <v/>
      </c>
      <c r="T34" s="253" t="str">
        <f>IF(ISERROR(試算結果詳細!E20+試算結果詳細!F20),"",試算結果詳細!E20+試算結果詳細!F20)</f>
        <v/>
      </c>
      <c r="U34" s="254" t="str">
        <f>IF(ISERROR(試算結果詳細!G20+試算結果詳細!H20),"",試算結果詳細!G20+試算結果詳細!H20)</f>
        <v/>
      </c>
      <c r="V34" s="301" t="str">
        <f t="shared" si="9"/>
        <v/>
      </c>
      <c r="W34" s="317" t="str">
        <f t="shared" si="10"/>
        <v/>
      </c>
      <c r="X34" s="315" t="str">
        <f t="shared" si="3"/>
        <v/>
      </c>
      <c r="Y34" s="176"/>
    </row>
    <row r="35" spans="2:25" ht="23.1" customHeight="1" thickBot="1" x14ac:dyDescent="0.2">
      <c r="B35" s="175"/>
      <c r="C35" s="261" t="str">
        <f t="shared" si="4"/>
        <v/>
      </c>
      <c r="D35" s="261">
        <f t="shared" si="5"/>
        <v>0</v>
      </c>
      <c r="E35" s="262" t="str">
        <f t="shared" si="0"/>
        <v/>
      </c>
      <c r="F35" s="271" t="str">
        <f t="shared" si="1"/>
        <v/>
      </c>
      <c r="G35" s="70">
        <v>5</v>
      </c>
      <c r="H35" s="275"/>
      <c r="I35" s="243"/>
      <c r="J35" s="241">
        <f t="shared" si="12"/>
        <v>0</v>
      </c>
      <c r="K35" s="243"/>
      <c r="L35" s="243"/>
      <c r="M35" s="313" t="str">
        <f t="shared" si="11"/>
        <v>0</v>
      </c>
      <c r="N35" s="241">
        <f t="shared" si="7"/>
        <v>0</v>
      </c>
      <c r="O35" s="250" t="str">
        <f t="shared" si="2"/>
        <v>0</v>
      </c>
      <c r="P35" s="243"/>
      <c r="Q35" s="333" t="str">
        <f t="shared" si="8"/>
        <v>0</v>
      </c>
      <c r="R35" s="249">
        <f>IF(Q35-設定!$B$2&lt;=0,0,Q35-設定!$B$2)</f>
        <v>0</v>
      </c>
      <c r="S35" s="252" t="str">
        <f>IF(ISERROR(試算結果詳細!C21+試算結果詳細!D21),"",試算結果詳細!C21+試算結果詳細!D21)</f>
        <v/>
      </c>
      <c r="T35" s="253" t="str">
        <f>IF(ISERROR(試算結果詳細!E21+試算結果詳細!F21),"",試算結果詳細!E21+試算結果詳細!F21)</f>
        <v/>
      </c>
      <c r="U35" s="254" t="str">
        <f>IF(ISERROR(試算結果詳細!G21+試算結果詳細!H21),"",試算結果詳細!G21+試算結果詳細!H21)</f>
        <v/>
      </c>
      <c r="V35" s="301" t="str">
        <f t="shared" si="9"/>
        <v/>
      </c>
      <c r="W35" s="317" t="str">
        <f t="shared" si="10"/>
        <v/>
      </c>
      <c r="X35" s="315" t="str">
        <f t="shared" si="3"/>
        <v/>
      </c>
      <c r="Y35" s="176"/>
    </row>
    <row r="36" spans="2:25" ht="23.1" customHeight="1" thickBot="1" x14ac:dyDescent="0.2">
      <c r="B36" s="175"/>
      <c r="C36" s="261" t="str">
        <f t="shared" si="4"/>
        <v/>
      </c>
      <c r="D36" s="261">
        <f t="shared" si="5"/>
        <v>0</v>
      </c>
      <c r="E36" s="262" t="str">
        <f t="shared" si="0"/>
        <v/>
      </c>
      <c r="F36" s="271" t="str">
        <f t="shared" si="1"/>
        <v/>
      </c>
      <c r="G36" s="70">
        <v>6</v>
      </c>
      <c r="H36" s="275"/>
      <c r="I36" s="243"/>
      <c r="J36" s="241">
        <f t="shared" si="12"/>
        <v>0</v>
      </c>
      <c r="K36" s="243"/>
      <c r="L36" s="243"/>
      <c r="M36" s="313" t="str">
        <f t="shared" si="11"/>
        <v>0</v>
      </c>
      <c r="N36" s="241">
        <f t="shared" si="7"/>
        <v>0</v>
      </c>
      <c r="O36" s="250" t="str">
        <f t="shared" si="2"/>
        <v>0</v>
      </c>
      <c r="P36" s="243"/>
      <c r="Q36" s="333" t="str">
        <f t="shared" si="8"/>
        <v>0</v>
      </c>
      <c r="R36" s="249">
        <f>IF(Q36-設定!$B$2&lt;=0,0,Q36-設定!$B$2)</f>
        <v>0</v>
      </c>
      <c r="S36" s="252" t="str">
        <f>IF(ISERROR(試算結果詳細!C22+試算結果詳細!D22),"",試算結果詳細!C22+試算結果詳細!D22)</f>
        <v/>
      </c>
      <c r="T36" s="253" t="str">
        <f>IF(ISERROR(試算結果詳細!E22+試算結果詳細!F22),"",試算結果詳細!E22+試算結果詳細!F22)</f>
        <v/>
      </c>
      <c r="U36" s="254" t="str">
        <f>IF(ISERROR(試算結果詳細!G22+試算結果詳細!H22),"",試算結果詳細!G22+試算結果詳細!H22)</f>
        <v/>
      </c>
      <c r="V36" s="301" t="str">
        <f t="shared" si="9"/>
        <v/>
      </c>
      <c r="W36" s="317" t="str">
        <f t="shared" si="10"/>
        <v/>
      </c>
      <c r="X36" s="315" t="str">
        <f t="shared" si="3"/>
        <v/>
      </c>
      <c r="Y36" s="176"/>
    </row>
    <row r="37" spans="2:25" ht="23.1" customHeight="1" thickBot="1" x14ac:dyDescent="0.2">
      <c r="B37" s="175"/>
      <c r="C37" s="261" t="str">
        <f t="shared" si="4"/>
        <v/>
      </c>
      <c r="D37" s="261">
        <f t="shared" si="5"/>
        <v>0</v>
      </c>
      <c r="E37" s="263" t="str">
        <f t="shared" si="0"/>
        <v/>
      </c>
      <c r="F37" s="272" t="str">
        <f t="shared" si="1"/>
        <v/>
      </c>
      <c r="G37" s="70">
        <v>7</v>
      </c>
      <c r="H37" s="275"/>
      <c r="I37" s="243"/>
      <c r="J37" s="241">
        <f t="shared" si="12"/>
        <v>0</v>
      </c>
      <c r="K37" s="243"/>
      <c r="L37" s="243"/>
      <c r="M37" s="313" t="str">
        <f t="shared" si="11"/>
        <v>0</v>
      </c>
      <c r="N37" s="241">
        <f t="shared" si="7"/>
        <v>0</v>
      </c>
      <c r="O37" s="250" t="str">
        <f t="shared" si="2"/>
        <v>0</v>
      </c>
      <c r="P37" s="243"/>
      <c r="Q37" s="333" t="str">
        <f t="shared" si="8"/>
        <v>0</v>
      </c>
      <c r="R37" s="249">
        <f>IF(Q37-設定!$B$2&lt;=0,0,Q37-設定!$B$2)</f>
        <v>0</v>
      </c>
      <c r="S37" s="252" t="str">
        <f>IF(ISERROR(試算結果詳細!C23+試算結果詳細!D23),"",試算結果詳細!C23+試算結果詳細!D23)</f>
        <v/>
      </c>
      <c r="T37" s="253" t="str">
        <f>IF(ISERROR(試算結果詳細!E23+試算結果詳細!F23),"",試算結果詳細!E23+試算結果詳細!F23)</f>
        <v/>
      </c>
      <c r="U37" s="254" t="str">
        <f>IF(ISERROR(試算結果詳細!G23+試算結果詳細!H23),"",試算結果詳細!G23+試算結果詳細!H23)</f>
        <v/>
      </c>
      <c r="V37" s="301" t="str">
        <f t="shared" si="9"/>
        <v/>
      </c>
      <c r="W37" s="317" t="str">
        <f t="shared" si="10"/>
        <v/>
      </c>
      <c r="X37" s="315" t="str">
        <f t="shared" si="3"/>
        <v/>
      </c>
      <c r="Y37" s="176"/>
    </row>
    <row r="38" spans="2:25" ht="23.1" customHeight="1" thickBot="1" x14ac:dyDescent="0.2">
      <c r="B38" s="175"/>
      <c r="C38" s="261" t="str">
        <f t="shared" si="4"/>
        <v/>
      </c>
      <c r="D38" s="261">
        <f t="shared" si="5"/>
        <v>0</v>
      </c>
      <c r="E38" s="263" t="str">
        <f t="shared" si="0"/>
        <v/>
      </c>
      <c r="F38" s="272" t="str">
        <f t="shared" si="1"/>
        <v/>
      </c>
      <c r="G38" s="71">
        <v>8</v>
      </c>
      <c r="H38" s="276"/>
      <c r="I38" s="243"/>
      <c r="J38" s="244">
        <f t="shared" si="12"/>
        <v>0</v>
      </c>
      <c r="K38" s="243"/>
      <c r="L38" s="243"/>
      <c r="M38" s="313" t="str">
        <f t="shared" si="11"/>
        <v>0</v>
      </c>
      <c r="N38" s="244">
        <f t="shared" si="7"/>
        <v>0</v>
      </c>
      <c r="O38" s="255" t="str">
        <f t="shared" si="2"/>
        <v>0</v>
      </c>
      <c r="P38" s="243"/>
      <c r="Q38" s="333" t="str">
        <f t="shared" si="8"/>
        <v>0</v>
      </c>
      <c r="R38" s="256">
        <f>IF(Q38-設定!$B$2&lt;=0,0,Q38-設定!$B$2)</f>
        <v>0</v>
      </c>
      <c r="S38" s="257" t="str">
        <f>IF(ISERROR(試算結果詳細!C24+試算結果詳細!D24),"",試算結果詳細!C24+試算結果詳細!D24)</f>
        <v/>
      </c>
      <c r="T38" s="258" t="str">
        <f>IF(ISERROR(試算結果詳細!E24+試算結果詳細!F24),"",試算結果詳細!E24+試算結果詳細!F24)</f>
        <v/>
      </c>
      <c r="U38" s="259" t="str">
        <f>IF(ISERROR(試算結果詳細!G24+試算結果詳細!H24),"",試算結果詳細!G24+試算結果詳細!H24)</f>
        <v/>
      </c>
      <c r="V38" s="303" t="str">
        <f t="shared" si="9"/>
        <v/>
      </c>
      <c r="W38" s="319" t="str">
        <f t="shared" si="10"/>
        <v/>
      </c>
      <c r="X38" s="316" t="str">
        <f t="shared" si="3"/>
        <v/>
      </c>
      <c r="Y38" s="176"/>
    </row>
    <row r="39" spans="2:25" s="18" customFormat="1" ht="21" hidden="1" customHeight="1" outlineLevel="1" thickBot="1" x14ac:dyDescent="0.2">
      <c r="B39" s="217"/>
      <c r="C39" s="264">
        <f>COUNTIF(C27:C38,"NG")</f>
        <v>1</v>
      </c>
      <c r="D39" s="265">
        <f>SUM(D27:D38)</f>
        <v>1</v>
      </c>
      <c r="E39" s="266"/>
      <c r="F39" s="267">
        <f>COUNTIF(F27:F38,"□")</f>
        <v>0</v>
      </c>
      <c r="G39" s="132"/>
      <c r="H39" s="132"/>
      <c r="I39" s="132"/>
      <c r="J39" s="132"/>
      <c r="K39" s="132"/>
      <c r="L39" s="132"/>
      <c r="M39" s="132"/>
      <c r="N39" s="132"/>
      <c r="O39" s="132"/>
      <c r="P39" s="132"/>
      <c r="Q39" s="132" t="str">
        <f t="shared" ref="Q39" si="13">IF(SUM(I39+K39-O39+P39)&lt;=0,"0",SUM(I39+K39-O39+P39))</f>
        <v>0</v>
      </c>
      <c r="R39" s="132"/>
      <c r="S39" s="233">
        <f>IF(G27="国民健康保険",IF(SUM(S27,S31:S38)&gt;=設定!B7,設定!B7,SUM(S27,S31:S38)),IF(SUM(S31:S38)&gt;=設定!B7,設定!B7,SUM(S31:S38)))</f>
        <v>47300</v>
      </c>
      <c r="T39" s="233">
        <f>IF($G$27="国民健康保険",IF(SUM(T27,T31:T38)&gt;=設定!C7,設定!C7,SUM(T27,T31:T38)),IF(SUM(T31:T38)&gt;=設定!C7,設定!C7,SUM(T31:T38)))</f>
        <v>16800</v>
      </c>
      <c r="U39" s="233">
        <f>IF($G$27="国民健康保険",IF(SUM(U27,U31:U38)&gt;=設定!D7,設定!D7,SUM(U27,U31:U38)),IF(SUM(U31:U38)&gt;=設定!D7,設定!D7,SUM(U31:U38)))</f>
        <v>0</v>
      </c>
      <c r="V39" s="234">
        <f>IF(SUM(S39:U39)=0,"",SUM(S39:U39))</f>
        <v>64100</v>
      </c>
      <c r="W39" s="132">
        <f>COUNTIF(W27:W38,"NG")</f>
        <v>1</v>
      </c>
      <c r="X39" s="132"/>
      <c r="Y39" s="235"/>
    </row>
    <row r="40" spans="2:25" ht="21" customHeight="1" collapsed="1" thickBot="1" x14ac:dyDescent="0.2">
      <c r="B40" s="175"/>
      <c r="C40" s="132"/>
      <c r="D40" s="132"/>
      <c r="E40" s="135"/>
      <c r="F40" s="135"/>
      <c r="G40" s="185"/>
      <c r="H40" s="148"/>
      <c r="I40" s="148"/>
      <c r="J40" s="132"/>
      <c r="K40" s="148"/>
      <c r="L40" s="148"/>
      <c r="M40" s="148"/>
      <c r="N40" s="132"/>
      <c r="O40" s="148"/>
      <c r="P40" s="148"/>
      <c r="Q40" s="148"/>
      <c r="R40" s="132"/>
      <c r="S40" s="132"/>
      <c r="T40" s="132"/>
      <c r="U40" s="132"/>
      <c r="V40" s="148"/>
      <c r="W40" s="148"/>
      <c r="X40" s="148"/>
      <c r="Y40" s="176"/>
    </row>
    <row r="41" spans="2:25" ht="51" customHeight="1" thickBot="1" x14ac:dyDescent="0.2">
      <c r="B41" s="175"/>
      <c r="C41" s="132"/>
      <c r="D41" s="132"/>
      <c r="E41" s="135"/>
      <c r="F41" s="135"/>
      <c r="G41" s="146" t="s">
        <v>124</v>
      </c>
      <c r="H41" s="365" t="str">
        <f>均等割額軽減判定!F7</f>
        <v>判定不能</v>
      </c>
      <c r="I41" s="366"/>
      <c r="J41" s="132"/>
      <c r="K41" s="148"/>
      <c r="L41" s="148"/>
      <c r="M41" s="148"/>
      <c r="N41" s="132"/>
      <c r="O41" s="148"/>
      <c r="P41" s="148"/>
      <c r="Q41" s="148"/>
      <c r="R41" s="132"/>
      <c r="S41" s="132"/>
      <c r="T41" s="132"/>
      <c r="U41" s="132"/>
      <c r="V41" s="148"/>
      <c r="W41" s="148"/>
      <c r="X41" s="148"/>
      <c r="Y41" s="176"/>
    </row>
    <row r="42" spans="2:25" ht="21" customHeight="1" x14ac:dyDescent="0.15">
      <c r="B42" s="175"/>
      <c r="C42" s="132"/>
      <c r="D42" s="132"/>
      <c r="E42" s="135"/>
      <c r="F42" s="135"/>
      <c r="G42" s="148"/>
      <c r="H42" s="148"/>
      <c r="I42" s="148"/>
      <c r="J42" s="132"/>
      <c r="K42" s="148"/>
      <c r="L42" s="148"/>
      <c r="M42" s="148"/>
      <c r="N42" s="132"/>
      <c r="O42" s="148"/>
      <c r="P42" s="148"/>
      <c r="Q42" s="148"/>
      <c r="R42" s="132"/>
      <c r="S42" s="132"/>
      <c r="T42" s="132"/>
      <c r="U42" s="132"/>
      <c r="V42" s="148"/>
      <c r="W42" s="148"/>
      <c r="X42" s="148"/>
      <c r="Y42" s="176"/>
    </row>
    <row r="43" spans="2:25" ht="30.75" customHeight="1" thickBot="1" x14ac:dyDescent="0.2">
      <c r="B43" s="175"/>
      <c r="C43" s="132"/>
      <c r="D43" s="132"/>
      <c r="E43" s="135"/>
      <c r="F43" s="135"/>
      <c r="G43" s="186" t="s">
        <v>125</v>
      </c>
      <c r="H43" s="148"/>
      <c r="I43" s="148"/>
      <c r="J43" s="132"/>
      <c r="K43" s="148"/>
      <c r="L43" s="148"/>
      <c r="M43" s="148"/>
      <c r="N43" s="132"/>
      <c r="O43" s="148"/>
      <c r="P43" s="148"/>
      <c r="Q43" s="148"/>
      <c r="R43" s="132"/>
      <c r="S43" s="132"/>
      <c r="T43" s="132"/>
      <c r="U43" s="132"/>
      <c r="V43" s="148"/>
      <c r="W43" s="148"/>
      <c r="X43" s="148"/>
      <c r="Y43" s="176"/>
    </row>
    <row r="44" spans="2:25" ht="61.5" customHeight="1" thickBot="1" x14ac:dyDescent="0.2">
      <c r="B44" s="175"/>
      <c r="C44" s="132"/>
      <c r="D44" s="132"/>
      <c r="E44" s="135"/>
      <c r="F44" s="135"/>
      <c r="G44" s="367" t="str">
        <f>IF(W39&gt;0,"入力に不足があります",V39)</f>
        <v>入力に不足があります</v>
      </c>
      <c r="H44" s="368"/>
      <c r="I44" s="148"/>
      <c r="J44" s="132"/>
      <c r="K44" s="148"/>
      <c r="L44" s="148"/>
      <c r="M44" s="148"/>
      <c r="N44" s="132"/>
      <c r="O44" s="148"/>
      <c r="P44" s="148"/>
      <c r="Q44" s="148"/>
      <c r="R44" s="132"/>
      <c r="S44" s="132"/>
      <c r="T44" s="132"/>
      <c r="U44" s="132"/>
      <c r="V44" s="148"/>
      <c r="W44" s="149"/>
      <c r="X44" s="149"/>
      <c r="Y44" s="176"/>
    </row>
    <row r="45" spans="2:25" ht="30.75" customHeight="1" thickBot="1" x14ac:dyDescent="0.2">
      <c r="B45" s="175"/>
      <c r="C45" s="132"/>
      <c r="D45" s="132"/>
      <c r="E45" s="135"/>
      <c r="F45" s="135"/>
      <c r="G45" s="187" t="s">
        <v>126</v>
      </c>
      <c r="H45" s="148"/>
      <c r="I45" s="148"/>
      <c r="J45" s="132"/>
      <c r="K45" s="148"/>
      <c r="L45" s="148"/>
      <c r="M45" s="148"/>
      <c r="N45" s="132"/>
      <c r="O45" s="148"/>
      <c r="P45" s="148"/>
      <c r="Q45" s="148"/>
      <c r="R45" s="132"/>
      <c r="S45" s="132"/>
      <c r="T45" s="132"/>
      <c r="U45" s="132"/>
      <c r="V45" s="148"/>
      <c r="W45" s="149"/>
      <c r="X45" s="149"/>
      <c r="Y45" s="176"/>
    </row>
    <row r="46" spans="2:25" ht="58.5" customHeight="1" thickBot="1" x14ac:dyDescent="0.2">
      <c r="B46" s="175"/>
      <c r="C46" s="132"/>
      <c r="D46" s="132"/>
      <c r="E46" s="135"/>
      <c r="F46" s="135"/>
      <c r="G46" s="361" t="str">
        <f>IF(ISERROR(ROUNDUP((G44/12),0)),"",ROUNDUP((G44/12),0))</f>
        <v/>
      </c>
      <c r="H46" s="362"/>
      <c r="I46" s="148"/>
      <c r="J46" s="132"/>
      <c r="K46" s="320" t="s">
        <v>145</v>
      </c>
      <c r="L46" s="148"/>
      <c r="M46" s="148"/>
      <c r="N46" s="132"/>
      <c r="O46" s="148"/>
      <c r="P46" s="148"/>
      <c r="Q46" s="148"/>
      <c r="R46" s="132"/>
      <c r="S46" s="132"/>
      <c r="T46" s="132"/>
      <c r="U46" s="132"/>
      <c r="V46" s="148"/>
      <c r="W46" s="148"/>
      <c r="X46" s="148"/>
      <c r="Y46" s="176"/>
    </row>
    <row r="47" spans="2:25" ht="21" customHeight="1" x14ac:dyDescent="0.15">
      <c r="B47" s="175"/>
      <c r="C47" s="132"/>
      <c r="D47" s="132"/>
      <c r="E47" s="135"/>
      <c r="F47" s="135"/>
      <c r="G47" s="148"/>
      <c r="H47" s="148"/>
      <c r="I47" s="148"/>
      <c r="J47" s="132"/>
      <c r="K47" s="148"/>
      <c r="L47" s="148"/>
      <c r="M47" s="148"/>
      <c r="N47" s="132"/>
      <c r="O47" s="148"/>
      <c r="P47" s="148"/>
      <c r="Q47" s="148"/>
      <c r="R47" s="132"/>
      <c r="S47" s="132"/>
      <c r="T47" s="132"/>
      <c r="U47" s="132"/>
      <c r="V47" s="148"/>
      <c r="W47" s="148"/>
      <c r="X47" s="148"/>
      <c r="Y47" s="176"/>
    </row>
    <row r="48" spans="2:25" ht="50.25" customHeight="1" x14ac:dyDescent="0.15">
      <c r="B48" s="175"/>
      <c r="C48" s="132"/>
      <c r="D48" s="132"/>
      <c r="E48" s="135"/>
      <c r="F48" s="135"/>
      <c r="G48" s="148"/>
      <c r="H48" s="148"/>
      <c r="I48" s="148"/>
      <c r="J48" s="132"/>
      <c r="K48" s="148"/>
      <c r="L48" s="148"/>
      <c r="M48" s="148"/>
      <c r="N48" s="132"/>
      <c r="O48" s="306" t="s">
        <v>141</v>
      </c>
      <c r="P48" s="307"/>
      <c r="Q48" s="307"/>
      <c r="R48" s="213"/>
      <c r="S48" s="213"/>
      <c r="T48" s="213"/>
      <c r="U48" s="213"/>
      <c r="V48" s="307"/>
      <c r="W48" s="308"/>
      <c r="X48" s="308"/>
      <c r="Y48" s="176"/>
    </row>
    <row r="49" spans="2:25" ht="48" customHeight="1" x14ac:dyDescent="0.15">
      <c r="B49" s="175"/>
      <c r="C49" s="132"/>
      <c r="D49" s="132"/>
      <c r="E49" s="135"/>
      <c r="F49" s="135"/>
      <c r="G49" s="148"/>
      <c r="H49" s="148"/>
      <c r="I49" s="148"/>
      <c r="J49" s="132"/>
      <c r="K49" s="148"/>
      <c r="L49" s="148"/>
      <c r="M49" s="148"/>
      <c r="N49" s="132"/>
      <c r="O49" s="309" t="s">
        <v>143</v>
      </c>
      <c r="P49" s="307"/>
      <c r="Q49" s="307"/>
      <c r="R49" s="213"/>
      <c r="S49" s="213"/>
      <c r="T49" s="213"/>
      <c r="U49" s="213"/>
      <c r="V49" s="307"/>
      <c r="W49" s="308"/>
      <c r="X49" s="308"/>
      <c r="Y49" s="176"/>
    </row>
    <row r="50" spans="2:25" ht="21" customHeight="1" x14ac:dyDescent="0.15">
      <c r="B50" s="175"/>
      <c r="C50" s="132"/>
      <c r="D50" s="132"/>
      <c r="E50" s="135"/>
      <c r="F50" s="135"/>
      <c r="G50" s="148"/>
      <c r="H50" s="148"/>
      <c r="I50" s="148"/>
      <c r="J50" s="132"/>
      <c r="K50" s="148"/>
      <c r="L50" s="148"/>
      <c r="M50" s="148"/>
      <c r="N50" s="132"/>
      <c r="O50" s="148"/>
      <c r="P50" s="148"/>
      <c r="Q50" s="148"/>
      <c r="R50" s="132"/>
      <c r="S50" s="132"/>
      <c r="T50" s="132"/>
      <c r="U50" s="132"/>
      <c r="V50" s="148"/>
      <c r="W50" s="148"/>
      <c r="X50" s="148"/>
      <c r="Y50" s="176"/>
    </row>
    <row r="51" spans="2:25" ht="21" customHeight="1" thickBot="1" x14ac:dyDescent="0.2">
      <c r="B51" s="188"/>
      <c r="C51" s="215"/>
      <c r="D51" s="215"/>
      <c r="E51" s="218"/>
      <c r="F51" s="218"/>
      <c r="G51" s="189"/>
      <c r="H51" s="189"/>
      <c r="I51" s="189"/>
      <c r="J51" s="215"/>
      <c r="K51" s="189"/>
      <c r="L51" s="189"/>
      <c r="M51" s="189"/>
      <c r="N51" s="215"/>
      <c r="O51" s="189"/>
      <c r="P51" s="189"/>
      <c r="Q51" s="189"/>
      <c r="R51" s="215"/>
      <c r="S51" s="215"/>
      <c r="T51" s="215"/>
      <c r="U51" s="215"/>
      <c r="V51" s="189"/>
      <c r="W51" s="189"/>
      <c r="X51" s="189"/>
      <c r="Y51" s="190"/>
    </row>
  </sheetData>
  <sheetProtection algorithmName="SHA-512" hashValue="eN5IgWRvImZFAZiQPlgDDZBceTbeATpgy+JZZHrX1TILjfcI9nV1ze/ksDBsTDVuID0pQndjdRjveGEvijEzmg==" saltValue="ylZW9fzNos/HEbb2Wpvr1w==" spinCount="100000" sheet="1" selectLockedCells="1"/>
  <mergeCells count="38">
    <mergeCell ref="G3:X3"/>
    <mergeCell ref="G4:X4"/>
    <mergeCell ref="W25:W26"/>
    <mergeCell ref="P17:Q17"/>
    <mergeCell ref="V17:X17"/>
    <mergeCell ref="X25:X26"/>
    <mergeCell ref="P25:P26"/>
    <mergeCell ref="H25:H26"/>
    <mergeCell ref="R25:R26"/>
    <mergeCell ref="L25:L26"/>
    <mergeCell ref="M25:M26"/>
    <mergeCell ref="H29:H30"/>
    <mergeCell ref="I29:I30"/>
    <mergeCell ref="G46:H46"/>
    <mergeCell ref="Q25:Q26"/>
    <mergeCell ref="K29:K30"/>
    <mergeCell ref="P29:P30"/>
    <mergeCell ref="H41:I41"/>
    <mergeCell ref="G44:H44"/>
    <mergeCell ref="G25:G26"/>
    <mergeCell ref="Q29:Q30"/>
    <mergeCell ref="O29:O30"/>
    <mergeCell ref="N29:N30"/>
    <mergeCell ref="G29:G30"/>
    <mergeCell ref="L29:L30"/>
    <mergeCell ref="M29:M30"/>
    <mergeCell ref="R29:R30"/>
    <mergeCell ref="I28:X28"/>
    <mergeCell ref="I25:I26"/>
    <mergeCell ref="J25:J26"/>
    <mergeCell ref="N25:N26"/>
    <mergeCell ref="K25:K26"/>
    <mergeCell ref="O25:O26"/>
    <mergeCell ref="J29:J30"/>
    <mergeCell ref="V25:V26"/>
    <mergeCell ref="W29:W30"/>
    <mergeCell ref="X29:X30"/>
    <mergeCell ref="V29:V30"/>
  </mergeCells>
  <phoneticPr fontId="2"/>
  <conditionalFormatting sqref="X31:X38">
    <cfRule type="expression" dxfId="31" priority="1">
      <formula>AND($H31&lt;7,$H31&gt;=0,$H31&lt;&gt;"")</formula>
    </cfRule>
  </conditionalFormatting>
  <dataValidations xWindow="451" yWindow="595" count="12">
    <dataValidation imeMode="disabled" operator="greaterThanOrEqual" allowBlank="1" showErrorMessage="1" errorTitle="入力値エラー" error="マイナスの金額は入力できません。" promptTitle="他の健康保険に加入している世帯主" prompt="他の健康保険に加入している世帯主がいる場合にのみ、その世帯主のそれ以外の所得金額を入力してください。均等割額の軽減判定に必要となります。" sqref="P27"/>
    <dataValidation type="whole" imeMode="disabled" allowBlank="1" showErrorMessage="1" errorTitle="入力値エラー" error="75歳以上は国民健康保険に加入できません。（後期高齢者医療制度の被保険者になります。）" sqref="H31:H38">
      <formula1>0</formula1>
      <formula2>74</formula2>
    </dataValidation>
    <dataValidation type="whole" imeMode="disabled" operator="greaterThanOrEqual" allowBlank="1" showErrorMessage="1" errorTitle="入力値エラー" error="マイナスの総所得金額等は入力できません。" sqref="O39">
      <formula1>0</formula1>
    </dataValidation>
    <dataValidation type="whole" imeMode="disabled" operator="greaterThanOrEqual" allowBlank="1" showErrorMessage="1" errorTitle="入力値エラー" error="マイナスの金額は入力できません。" promptTitle="他の健康保険に加入している世帯主" prompt="他の健康保険に加入している世帯主がいる場合にのみ、その世帯主の給与所得金額を入力してください。均等割額の軽減判定に必要となります。" sqref="I27">
      <formula1>0</formula1>
    </dataValidation>
    <dataValidation type="whole" imeMode="disabled" operator="greaterThanOrEqual" allowBlank="1" showErrorMessage="1" errorTitle="入力値エラー" error="マイナスの金額は入力できません。" promptTitle="他の健康保険に加入している世帯主" prompt="他の健康保険に加入している世帯主がいる場合にのみ、その世帯主の公的年金等の雑所得金額を入力してください。均等割額の軽減判定に必要となります。" sqref="K27 M27">
      <formula1>0</formula1>
    </dataValidation>
    <dataValidation type="whole" imeMode="disabled" operator="greaterThanOrEqual" allowBlank="1" showErrorMessage="1" errorTitle="入力値エラー" error="マイナスの金額は入力できません。" sqref="J27 N27 I31:K38 N31:N38 L32:L38 P33:P38">
      <formula1>0</formula1>
    </dataValidation>
    <dataValidation imeMode="disabled" operator="greaterThanOrEqual" allowBlank="1" errorTitle="入力値エラー" error="マイナスの金額は入力できません。" sqref="P31:P32"/>
    <dataValidation imeMode="disabled" operator="greaterThanOrEqual" allowBlank="1" showErrorMessage="1" errorTitle="入力値エラー" error="マイナスの総所得金額等は入力できません。" sqref="Q27 S27:U27 S31:U31 Q31:Q39"/>
    <dataValidation type="list" allowBlank="1" showInputMessage="1" showErrorMessage="1" sqref="G27">
      <formula1>"(未選択),国民健康保険,後期高齢者医療保険,その他の保険"</formula1>
    </dataValidation>
    <dataValidation type="whole" operator="greaterThanOrEqual" allowBlank="1" showInputMessage="1" showErrorMessage="1" sqref="H27">
      <formula1>0</formula1>
    </dataValidation>
    <dataValidation imeMode="disabled" operator="greaterThanOrEqual" allowBlank="1" showErrorMessage="1" errorTitle="入力値エラー" error="マイナスの金額は入力できません。" promptTitle="他の健康保険に加入している世帯主" prompt="他の健康保険に加入している世帯主がいる場合にのみ、その世帯主の公的年金等の雑所得金額を入力してください。均等割額の軽減判定に必要となります。" sqref="L27"/>
    <dataValidation imeMode="disabled" operator="greaterThanOrEqual" allowBlank="1" showErrorMessage="1" errorTitle="入力値エラー" error="マイナスの金額は入力できません。" sqref="L31:M31 M32:M38"/>
  </dataValidations>
  <printOptions horizontalCentered="1" verticalCentered="1"/>
  <pageMargins left="3.937007874015748E-2" right="3.937007874015748E-2" top="3.937007874015748E-2" bottom="3.937007874015748E-2" header="0.31496062992125984" footer="0.31496062992125984"/>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outlinePr showOutlineSymbols="0"/>
    <pageSetUpPr fitToPage="1"/>
  </sheetPr>
  <dimension ref="B2:O26"/>
  <sheetViews>
    <sheetView showGridLines="0" showOutlineSymbols="0" zoomScale="90" zoomScaleNormal="90" workbookViewId="0">
      <selection activeCell="C16" sqref="C16"/>
    </sheetView>
  </sheetViews>
  <sheetFormatPr defaultRowHeight="13.5" outlineLevelRow="1" x14ac:dyDescent="0.15"/>
  <cols>
    <col min="1" max="1" width="3.75" customWidth="1"/>
    <col min="2" max="2" width="11.75" customWidth="1"/>
    <col min="3" max="8" width="15.75" customWidth="1"/>
    <col min="9" max="9" width="15.125" customWidth="1"/>
    <col min="10" max="11" width="7.625" customWidth="1"/>
    <col min="12" max="12" width="6.625" customWidth="1"/>
    <col min="14" max="15" width="5.75" customWidth="1"/>
  </cols>
  <sheetData>
    <row r="2" spans="2:15" s="4" customFormat="1" ht="18" thickBot="1" x14ac:dyDescent="0.25">
      <c r="B2" s="5" t="s">
        <v>12</v>
      </c>
      <c r="I2" s="8" t="s">
        <v>18</v>
      </c>
    </row>
    <row r="3" spans="2:15" ht="39.950000000000003" customHeight="1" thickTop="1" thickBot="1" x14ac:dyDescent="0.2">
      <c r="B3" s="397" t="s">
        <v>10</v>
      </c>
      <c r="C3" s="398"/>
      <c r="D3" s="399" t="s">
        <v>8</v>
      </c>
      <c r="E3" s="398"/>
      <c r="F3" s="399" t="s">
        <v>16</v>
      </c>
      <c r="G3" s="400"/>
      <c r="H3" s="401" t="s">
        <v>9</v>
      </c>
      <c r="I3" s="402"/>
    </row>
    <row r="4" spans="2:15" ht="39.950000000000003" customHeight="1" thickTop="1" x14ac:dyDescent="0.15">
      <c r="B4" s="403" t="s">
        <v>13</v>
      </c>
      <c r="C4" s="404"/>
      <c r="D4" s="405">
        <f>C25</f>
        <v>0</v>
      </c>
      <c r="E4" s="406"/>
      <c r="F4" s="405">
        <f>D25</f>
        <v>47300</v>
      </c>
      <c r="G4" s="407"/>
      <c r="H4" s="408">
        <f>IF(SUM(D4:G4)&gt;=設定!B7,設定!B7,SUM(D4:G4))</f>
        <v>47300</v>
      </c>
      <c r="I4" s="409"/>
      <c r="J4" s="6" t="s">
        <v>21</v>
      </c>
      <c r="L4" s="26">
        <f>設定!B7/10000</f>
        <v>66</v>
      </c>
      <c r="M4" s="9" t="s">
        <v>22</v>
      </c>
    </row>
    <row r="5" spans="2:15" ht="39.950000000000003" customHeight="1" x14ac:dyDescent="0.15">
      <c r="B5" s="410" t="s">
        <v>65</v>
      </c>
      <c r="C5" s="411"/>
      <c r="D5" s="412">
        <f>E25</f>
        <v>0</v>
      </c>
      <c r="E5" s="413"/>
      <c r="F5" s="412">
        <f>F25</f>
        <v>16800</v>
      </c>
      <c r="G5" s="414"/>
      <c r="H5" s="415">
        <f>IF(SUM(D5:G5)&gt;=設定!C7,設定!C7,SUM(D5:G5))</f>
        <v>16800</v>
      </c>
      <c r="I5" s="416"/>
      <c r="J5" s="6" t="s">
        <v>21</v>
      </c>
      <c r="L5" s="26">
        <f>設定!C7/10000</f>
        <v>26</v>
      </c>
      <c r="M5" s="9" t="s">
        <v>22</v>
      </c>
    </row>
    <row r="6" spans="2:15" ht="39.950000000000003" customHeight="1" thickBot="1" x14ac:dyDescent="0.2">
      <c r="B6" s="417" t="s">
        <v>20</v>
      </c>
      <c r="C6" s="418"/>
      <c r="D6" s="419">
        <f>G25</f>
        <v>0</v>
      </c>
      <c r="E6" s="420"/>
      <c r="F6" s="419">
        <f>H25</f>
        <v>0</v>
      </c>
      <c r="G6" s="421"/>
      <c r="H6" s="422">
        <f>IF(SUM(D6:G6)&gt;=設定!D7,設定!D7,SUM(D6:G6))</f>
        <v>0</v>
      </c>
      <c r="I6" s="423"/>
      <c r="J6" s="6" t="s">
        <v>21</v>
      </c>
      <c r="L6" s="26">
        <f>設定!D7/10000</f>
        <v>17</v>
      </c>
      <c r="M6" s="9" t="s">
        <v>22</v>
      </c>
    </row>
    <row r="7" spans="2:15" ht="39.950000000000003" customHeight="1" thickBot="1" x14ac:dyDescent="0.25">
      <c r="B7" s="7"/>
      <c r="C7" s="7"/>
      <c r="D7" s="7"/>
      <c r="E7" s="7"/>
      <c r="F7" s="7"/>
      <c r="G7" s="7"/>
      <c r="H7" s="428">
        <f>SUM(H4:I6)</f>
        <v>64100</v>
      </c>
      <c r="I7" s="429"/>
    </row>
    <row r="8" spans="2:15" ht="15" customHeight="1" thickTop="1" x14ac:dyDescent="0.2">
      <c r="B8" s="7"/>
      <c r="C8" s="7"/>
      <c r="D8" s="7"/>
      <c r="E8" s="7"/>
      <c r="F8" s="7"/>
      <c r="G8" s="7"/>
      <c r="H8" s="12"/>
      <c r="I8" s="12"/>
    </row>
    <row r="9" spans="2:15" ht="15" customHeight="1" x14ac:dyDescent="0.15"/>
    <row r="10" spans="2:15" s="4" customFormat="1" ht="18" thickBot="1" x14ac:dyDescent="0.25">
      <c r="B10" s="5" t="s">
        <v>46</v>
      </c>
      <c r="I10" s="8" t="s">
        <v>19</v>
      </c>
    </row>
    <row r="11" spans="2:15" ht="49.9" customHeight="1" thickBot="1" x14ac:dyDescent="0.2">
      <c r="B11" s="391" t="s">
        <v>7</v>
      </c>
      <c r="C11" s="430" t="s">
        <v>14</v>
      </c>
      <c r="D11" s="431"/>
      <c r="E11" s="432" t="s">
        <v>45</v>
      </c>
      <c r="F11" s="433"/>
      <c r="G11" s="430" t="s">
        <v>44</v>
      </c>
      <c r="H11" s="430"/>
      <c r="I11" s="394" t="s">
        <v>47</v>
      </c>
    </row>
    <row r="12" spans="2:15" ht="30" customHeight="1" thickBot="1" x14ac:dyDescent="0.2">
      <c r="B12" s="392"/>
      <c r="C12" s="434" t="s">
        <v>8</v>
      </c>
      <c r="D12" s="67" t="s">
        <v>15</v>
      </c>
      <c r="E12" s="434" t="s">
        <v>8</v>
      </c>
      <c r="F12" s="67" t="s">
        <v>15</v>
      </c>
      <c r="G12" s="434" t="s">
        <v>8</v>
      </c>
      <c r="H12" s="67" t="s">
        <v>15</v>
      </c>
      <c r="I12" s="395"/>
      <c r="K12" s="426" t="s">
        <v>32</v>
      </c>
      <c r="L12" s="427"/>
      <c r="M12" s="427"/>
      <c r="N12" s="424" t="str">
        <f>均等割額軽減判定!F7</f>
        <v>判定不能</v>
      </c>
      <c r="O12" s="425"/>
    </row>
    <row r="13" spans="2:15" ht="30" customHeight="1" x14ac:dyDescent="0.15">
      <c r="B13" s="392"/>
      <c r="C13" s="435"/>
      <c r="D13" s="68" t="s">
        <v>43</v>
      </c>
      <c r="E13" s="435"/>
      <c r="F13" s="68" t="s">
        <v>43</v>
      </c>
      <c r="G13" s="435"/>
      <c r="H13" s="68" t="s">
        <v>43</v>
      </c>
      <c r="I13" s="395"/>
    </row>
    <row r="14" spans="2:15" ht="20.100000000000001" customHeight="1" x14ac:dyDescent="0.15">
      <c r="B14" s="392"/>
      <c r="C14" s="389">
        <f>設定!B5</f>
        <v>7.7100000000000002E-2</v>
      </c>
      <c r="D14" s="74">
        <f>設定!B6</f>
        <v>47300</v>
      </c>
      <c r="E14" s="389">
        <f>設定!C5</f>
        <v>2.69E-2</v>
      </c>
      <c r="F14" s="76">
        <f>設定!C6</f>
        <v>16800</v>
      </c>
      <c r="G14" s="389">
        <f>設定!D5</f>
        <v>2.1000000000000001E-2</v>
      </c>
      <c r="H14" s="74">
        <f>設定!D6</f>
        <v>16600</v>
      </c>
      <c r="I14" s="395"/>
    </row>
    <row r="15" spans="2:15" ht="20.100000000000001" customHeight="1" thickBot="1" x14ac:dyDescent="0.2">
      <c r="B15" s="393"/>
      <c r="C15" s="390"/>
      <c r="D15" s="75">
        <f>IF(均等割額軽減判定!H7="","",設定!$B$6*(1-均等割額軽減判定!H7))</f>
        <v>47300</v>
      </c>
      <c r="E15" s="390"/>
      <c r="F15" s="77">
        <f>IF(均等割額軽減判定!H7="","",設定!C$6*(1-均等割額軽減判定!H7))</f>
        <v>16800</v>
      </c>
      <c r="G15" s="390"/>
      <c r="H15" s="75">
        <f>IF(均等割額軽減判定!H7="","",設定!D$6*(1-均等割額軽減判定!H7))</f>
        <v>16600</v>
      </c>
      <c r="I15" s="396"/>
    </row>
    <row r="16" spans="2:15" ht="29.25" customHeight="1" thickBot="1" x14ac:dyDescent="0.2">
      <c r="B16" s="144" t="s">
        <v>118</v>
      </c>
      <c r="C16" s="284">
        <f>IF(試算シート!G27="国民健康保険",ROUNDDOWN(試算シート!R27*設定!$B$5,0),"")</f>
        <v>0</v>
      </c>
      <c r="D16" s="285">
        <f>IF(試算シート!G27="国民健康保険",設定!$B$6*(1-均等割額軽減判定!$H$7),"")</f>
        <v>47300</v>
      </c>
      <c r="E16" s="284">
        <f>IF(試算シート!G27="国民健康保険",ROUNDDOWN(試算シート!R27*設定!C$5,0),"")</f>
        <v>0</v>
      </c>
      <c r="F16" s="286">
        <f>IF(試算シート!G27="国民健康保険",設定!C$6*(1-均等割額軽減判定!$H$7),"")</f>
        <v>16800</v>
      </c>
      <c r="G16" s="287">
        <f>IF(試算シート!G27="国民健康保険",IF(AND(試算シート!H27&gt;=40,試算シート!H27&lt;=64),ROUNDDOWN(試算シート!R27*設定!D$5,0),0),"")</f>
        <v>0</v>
      </c>
      <c r="H16" s="285">
        <f>IF(試算シート!G27="国民健康保険",IF(AND(試算シート!H27&gt;=40,試算シート!H27&lt;=64),設定!D$6*(1-均等割額軽減判定!$H$7),0),"")</f>
        <v>0</v>
      </c>
      <c r="I16" s="288">
        <f>SUM(C16:H16)</f>
        <v>64100</v>
      </c>
    </row>
    <row r="17" spans="2:9" ht="24.95" customHeight="1" x14ac:dyDescent="0.15">
      <c r="B17" s="69">
        <v>1</v>
      </c>
      <c r="C17" s="28" t="str">
        <f>IF(試算シート!H31="","",ROUNDDOWN(試算シート!R31*設定!$B$5,0))</f>
        <v/>
      </c>
      <c r="D17" s="22" t="str">
        <f>IF(試算シート!H31="","",IF(試算シート!X31="〇",設定!$B$6*(1-均等割額軽減判定!$H$7)*0.5,設定!$B$6*(1-均等割額軽減判定!$H$7)))</f>
        <v/>
      </c>
      <c r="E17" s="28" t="str">
        <f>IF(試算シート!H31="","",ROUNDDOWN(試算シート!R31*設定!C$5,0))</f>
        <v/>
      </c>
      <c r="F17" s="29" t="str">
        <f>IF(試算シート!H31="","",IF(試算シート!X31="〇",設定!$C$6*(1-均等割額軽減判定!$H$7)*0.5,設定!$C$6*(1-均等割額軽減判定!$H$7)))</f>
        <v/>
      </c>
      <c r="G17" s="23" t="str">
        <f>IF(試算シート!H31="","",IF(AND(試算シート!H31&gt;=40,試算シート!H31&lt;=64),ROUNDDOWN(試算シート!R31*設定!D$5,0),0))</f>
        <v/>
      </c>
      <c r="H17" s="22" t="str">
        <f>IF(試算シート!H31="","",IF(試算シート!X31="〇","0",IF(AND(試算シート!H31&gt;=40,試算シート!H31&lt;=64),設定!D$6*(1-均等割額軽減判定!$H$7),"0")))</f>
        <v/>
      </c>
      <c r="I17" s="72">
        <f>SUM(C17:H17)</f>
        <v>0</v>
      </c>
    </row>
    <row r="18" spans="2:9" ht="24.95" customHeight="1" x14ac:dyDescent="0.15">
      <c r="B18" s="70">
        <v>2</v>
      </c>
      <c r="C18" s="28" t="str">
        <f>IF(試算シート!H32="","",ROUNDDOWN(試算シート!R32*設定!$B$5,0))</f>
        <v/>
      </c>
      <c r="D18" s="22" t="str">
        <f>IF(試算シート!H32="","",IF(試算シート!X32="〇",設定!$B$6*(1-均等割額軽減判定!$H$7)*0.5,設定!$B$6*(1-均等割額軽減判定!$H$7)))</f>
        <v/>
      </c>
      <c r="E18" s="30" t="str">
        <f>IF(試算シート!H32="","",ROUNDDOWN(試算シート!R32*設定!C$5,0))</f>
        <v/>
      </c>
      <c r="F18" s="29" t="str">
        <f>IF(試算シート!H32="","",IF(試算シート!X32="〇",設定!$C$6*(1-均等割額軽減判定!$H$7)*0.5,設定!$C$6*(1-均等割額軽減判定!$H$7)))</f>
        <v/>
      </c>
      <c r="G18" s="27" t="str">
        <f>IF(試算シート!H32="","",IF(AND(試算シート!H32&gt;=40,試算シート!H32&lt;=64),ROUNDDOWN(試算シート!R32*設定!D$5,0),0))</f>
        <v/>
      </c>
      <c r="H18" s="22" t="str">
        <f>IF(試算シート!H32="","",IF(試算シート!X32="〇","0",IF(AND(試算シート!H32&gt;=40,試算シート!H32&lt;=64),設定!D$6*(1-均等割額軽減判定!$H$7),"0")))</f>
        <v/>
      </c>
      <c r="I18" s="72">
        <f t="shared" ref="I18:I24" si="0">SUM(C18:H18)</f>
        <v>0</v>
      </c>
    </row>
    <row r="19" spans="2:9" ht="24.95" customHeight="1" x14ac:dyDescent="0.15">
      <c r="B19" s="70">
        <v>3</v>
      </c>
      <c r="C19" s="28" t="str">
        <f>IF(試算シート!H33="","",ROUNDDOWN(試算シート!R33*設定!$B$5,0))</f>
        <v/>
      </c>
      <c r="D19" s="22" t="str">
        <f>IF(試算シート!H33="","",IF(試算シート!X33="〇",設定!$B$6*(1-均等割額軽減判定!$H$7)*0.5,設定!$B$6*(1-均等割額軽減判定!$H$7)))</f>
        <v/>
      </c>
      <c r="E19" s="30" t="str">
        <f>IF(試算シート!H33="","",ROUNDDOWN(試算シート!R33*設定!C$5,0))</f>
        <v/>
      </c>
      <c r="F19" s="29" t="str">
        <f>IF(試算シート!H33="","",IF(試算シート!X33="〇",設定!$C$6*(1-均等割額軽減判定!$H$7)*0.5,設定!$C$6*(1-均等割額軽減判定!$H$7)))</f>
        <v/>
      </c>
      <c r="G19" s="27" t="str">
        <f>IF(試算シート!H33="","",IF(AND(試算シート!H33&gt;=40,試算シート!H33&lt;=64),ROUNDDOWN(試算シート!R33*設定!D$5,0),0))</f>
        <v/>
      </c>
      <c r="H19" s="22" t="str">
        <f>IF(試算シート!H33="","",IF(試算シート!X33="〇","0",IF(AND(試算シート!H33&gt;=40,試算シート!H33&lt;=64),設定!D$6*(1-均等割額軽減判定!$H$7),"0")))</f>
        <v/>
      </c>
      <c r="I19" s="72">
        <f t="shared" si="0"/>
        <v>0</v>
      </c>
    </row>
    <row r="20" spans="2:9" ht="24.95" customHeight="1" x14ac:dyDescent="0.15">
      <c r="B20" s="70">
        <v>4</v>
      </c>
      <c r="C20" s="28" t="str">
        <f>IF(試算シート!H34="","",ROUNDDOWN(試算シート!R34*設定!$B$5,0))</f>
        <v/>
      </c>
      <c r="D20" s="22" t="str">
        <f>IF(試算シート!H34="","",IF(試算シート!X34="〇",設定!$B$6*(1-均等割額軽減判定!$H$7)*0.5,設定!$B$6*(1-均等割額軽減判定!$H$7)))</f>
        <v/>
      </c>
      <c r="E20" s="30" t="str">
        <f>IF(試算シート!H34="","",ROUNDDOWN(試算シート!R34*設定!C$5,0))</f>
        <v/>
      </c>
      <c r="F20" s="29" t="str">
        <f>IF(試算シート!H34="","",IF(試算シート!X34="〇",設定!$C$6*(1-均等割額軽減判定!$H$7)*0.5,設定!$C$6*(1-均等割額軽減判定!$H$7)))</f>
        <v/>
      </c>
      <c r="G20" s="27" t="str">
        <f>IF(試算シート!H34="","",IF(AND(試算シート!H34&gt;=40,試算シート!H34&lt;=64),ROUNDDOWN(試算シート!R34*設定!D$5,0),0))</f>
        <v/>
      </c>
      <c r="H20" s="22" t="str">
        <f>IF(試算シート!H34="","",IF(試算シート!X34="〇","0",IF(AND(試算シート!H34&gt;=40,試算シート!H34&lt;=64),設定!D$6*(1-均等割額軽減判定!$H$7),"0")))</f>
        <v/>
      </c>
      <c r="I20" s="72">
        <f t="shared" si="0"/>
        <v>0</v>
      </c>
    </row>
    <row r="21" spans="2:9" ht="24.95" customHeight="1" x14ac:dyDescent="0.15">
      <c r="B21" s="70">
        <v>5</v>
      </c>
      <c r="C21" s="28" t="str">
        <f>IF(試算シート!H35="","",ROUNDDOWN(試算シート!R35*設定!$B$5,0))</f>
        <v/>
      </c>
      <c r="D21" s="22" t="str">
        <f>IF(試算シート!H35="","",IF(試算シート!X35="〇",設定!$B$6*(1-均等割額軽減判定!$H$7)*0.5,設定!$B$6*(1-均等割額軽減判定!$H$7)))</f>
        <v/>
      </c>
      <c r="E21" s="30" t="str">
        <f>IF(試算シート!H35="","",ROUNDDOWN(試算シート!R35*設定!C$5,0))</f>
        <v/>
      </c>
      <c r="F21" s="29" t="str">
        <f>IF(試算シート!H35="","",IF(試算シート!X35="〇",設定!$C$6*(1-均等割額軽減判定!$H$7)*0.5,設定!$C$6*(1-均等割額軽減判定!$H$7)))</f>
        <v/>
      </c>
      <c r="G21" s="27" t="str">
        <f>IF(試算シート!H35="","",IF(AND(試算シート!H35&gt;=40,試算シート!H35&lt;=64),ROUNDDOWN(試算シート!R35*設定!D$5,0),0))</f>
        <v/>
      </c>
      <c r="H21" s="22" t="str">
        <f>IF(試算シート!H35="","",IF(試算シート!X35="〇","0",IF(AND(試算シート!H35&gt;=40,試算シート!H35&lt;=64),設定!D$6*(1-均等割額軽減判定!$H$7),"0")))</f>
        <v/>
      </c>
      <c r="I21" s="72">
        <f t="shared" si="0"/>
        <v>0</v>
      </c>
    </row>
    <row r="22" spans="2:9" ht="24.95" customHeight="1" x14ac:dyDescent="0.15">
      <c r="B22" s="70">
        <v>6</v>
      </c>
      <c r="C22" s="28" t="str">
        <f>IF(試算シート!H36="","",ROUNDDOWN(試算シート!R36*設定!$B$5,0))</f>
        <v/>
      </c>
      <c r="D22" s="22" t="str">
        <f>IF(試算シート!H36="","",IF(試算シート!X36="〇",設定!$B$6*(1-均等割額軽減判定!$H$7)*0.5,設定!$B$6*(1-均等割額軽減判定!$H$7)))</f>
        <v/>
      </c>
      <c r="E22" s="30" t="str">
        <f>IF(試算シート!H36="","",ROUNDDOWN(試算シート!R36*設定!C$5,0))</f>
        <v/>
      </c>
      <c r="F22" s="29" t="str">
        <f>IF(試算シート!H36="","",IF(試算シート!X36="〇",設定!$C$6*(1-均等割額軽減判定!$H$7)*0.5,設定!$C$6*(1-均等割額軽減判定!$H$7)))</f>
        <v/>
      </c>
      <c r="G22" s="27" t="str">
        <f>IF(試算シート!H36="","",IF(AND(試算シート!H36&gt;=40,試算シート!H36&lt;=64),ROUNDDOWN(試算シート!R36*設定!D$5,0),0))</f>
        <v/>
      </c>
      <c r="H22" s="22" t="str">
        <f>IF(試算シート!H36="","",IF(試算シート!X36="〇","0",IF(AND(試算シート!H36&gt;=40,試算シート!H36&lt;=64),設定!D$6*(1-均等割額軽減判定!$H$7),"0")))</f>
        <v/>
      </c>
      <c r="I22" s="72">
        <f t="shared" si="0"/>
        <v>0</v>
      </c>
    </row>
    <row r="23" spans="2:9" ht="24.95" customHeight="1" x14ac:dyDescent="0.15">
      <c r="B23" s="70">
        <v>7</v>
      </c>
      <c r="C23" s="28" t="str">
        <f>IF(試算シート!H37="","",ROUNDDOWN(試算シート!R37*設定!$B$5,0))</f>
        <v/>
      </c>
      <c r="D23" s="22" t="str">
        <f>IF(試算シート!H37="","",IF(試算シート!X37="〇",設定!$B$6*(1-均等割額軽減判定!$H$7)*0.5,設定!$B$6*(1-均等割額軽減判定!$H$7)))</f>
        <v/>
      </c>
      <c r="E23" s="30" t="str">
        <f>IF(試算シート!H37="","",ROUNDDOWN(試算シート!R37*設定!C$5,0))</f>
        <v/>
      </c>
      <c r="F23" s="29" t="str">
        <f>IF(試算シート!H37="","",IF(試算シート!X37="〇",設定!$C$6*(1-均等割額軽減判定!$H$7)*0.5,設定!$C$6*(1-均等割額軽減判定!$H$7)))</f>
        <v/>
      </c>
      <c r="G23" s="27" t="str">
        <f>IF(試算シート!H37="","",IF(AND(試算シート!H37&gt;=40,試算シート!H37&lt;=64),ROUNDDOWN(試算シート!R37*設定!D$5,0),0))</f>
        <v/>
      </c>
      <c r="H23" s="22" t="str">
        <f>IF(試算シート!H37="","",IF(試算シート!X37="〇","0",IF(AND(試算シート!H37&gt;=40,試算シート!H37&lt;=64),設定!D$6*(1-均等割額軽減判定!$H$7),"0")))</f>
        <v/>
      </c>
      <c r="I23" s="72">
        <f t="shared" si="0"/>
        <v>0</v>
      </c>
    </row>
    <row r="24" spans="2:9" ht="24.95" customHeight="1" thickBot="1" x14ac:dyDescent="0.2">
      <c r="B24" s="71">
        <v>8</v>
      </c>
      <c r="C24" s="31" t="str">
        <f>IF(試算シート!H38="","",ROUNDDOWN(試算シート!R38*設定!$B$5,0))</f>
        <v/>
      </c>
      <c r="D24" s="289" t="str">
        <f>IF(試算シート!H38="","",IF(試算シート!X38="〇",設定!$B$6*(1-均等割額軽減判定!$H$7)*0.5,設定!$B$6*(1-均等割額軽減判定!$H$7)))</f>
        <v/>
      </c>
      <c r="E24" s="31" t="str">
        <f>IF(試算シート!H38="","",ROUNDDOWN(試算シート!R38*設定!C$5,0))</f>
        <v/>
      </c>
      <c r="F24" s="290" t="str">
        <f>IF(試算シート!H38="","",IF(試算シート!X38="〇",設定!$C$6*(1-均等割額軽減判定!$H$7)*0.5,設定!$C$6*(1-均等割額軽減判定!$H$7)))</f>
        <v/>
      </c>
      <c r="G24" s="24" t="str">
        <f>IF(試算シート!H38="","",IF(AND(試算シート!H38&gt;=40,試算シート!H38&lt;=64),ROUNDDOWN(試算シート!R38*設定!D$5,0),0))</f>
        <v/>
      </c>
      <c r="H24" s="310" t="str">
        <f>IF(試算シート!H38="","",IF(試算シート!X38="〇","0",IF(AND(試算シート!H38&gt;=40,試算シート!H38&lt;=64),設定!D$6*(1-均等割額軽減判定!$H$7),"0")))</f>
        <v/>
      </c>
      <c r="I24" s="73">
        <f t="shared" si="0"/>
        <v>0</v>
      </c>
    </row>
    <row r="25" spans="2:9" s="34" customFormat="1" ht="21.75" hidden="1" customHeight="1" outlineLevel="1" thickBot="1" x14ac:dyDescent="0.2">
      <c r="B25" s="32" t="s">
        <v>17</v>
      </c>
      <c r="C25" s="33">
        <f>SUM(C16:C24)</f>
        <v>0</v>
      </c>
      <c r="D25" s="33">
        <f>SUM(D16:D24)</f>
        <v>47300</v>
      </c>
      <c r="E25" s="33">
        <f t="shared" ref="E25:H25" si="1">SUM(E16:E24)</f>
        <v>0</v>
      </c>
      <c r="F25" s="33">
        <f t="shared" si="1"/>
        <v>16800</v>
      </c>
      <c r="G25" s="33">
        <f t="shared" si="1"/>
        <v>0</v>
      </c>
      <c r="H25" s="33">
        <f t="shared" si="1"/>
        <v>0</v>
      </c>
      <c r="I25" s="33">
        <f>SUM(I16:I24)</f>
        <v>64100</v>
      </c>
    </row>
    <row r="26" spans="2:9" collapsed="1" x14ac:dyDescent="0.15"/>
  </sheetData>
  <sheetProtection algorithmName="SHA-512" hashValue="604Es4MEPzCUZlW263EceIBiEel0jMnAo6ahp3JOq2YIkoPpTwBq11zHKPXPOB4LhtIIr7wKTtQ2wi3e6lBn3g==" saltValue="THOVCgTlTHjC4gldz+oD2A==" spinCount="100000" sheet="1" selectLockedCells="1" selectUnlockedCells="1"/>
  <mergeCells count="30">
    <mergeCell ref="N12:O12"/>
    <mergeCell ref="K12:M12"/>
    <mergeCell ref="H7:I7"/>
    <mergeCell ref="C11:D11"/>
    <mergeCell ref="E11:F11"/>
    <mergeCell ref="G11:H11"/>
    <mergeCell ref="C12:C13"/>
    <mergeCell ref="E12:E13"/>
    <mergeCell ref="G12:G13"/>
    <mergeCell ref="B5:C5"/>
    <mergeCell ref="D5:E5"/>
    <mergeCell ref="F5:G5"/>
    <mergeCell ref="H5:I5"/>
    <mergeCell ref="B6:C6"/>
    <mergeCell ref="D6:E6"/>
    <mergeCell ref="F6:G6"/>
    <mergeCell ref="H6:I6"/>
    <mergeCell ref="B3:C3"/>
    <mergeCell ref="D3:E3"/>
    <mergeCell ref="F3:G3"/>
    <mergeCell ref="H3:I3"/>
    <mergeCell ref="B4:C4"/>
    <mergeCell ref="D4:E4"/>
    <mergeCell ref="F4:G4"/>
    <mergeCell ref="H4:I4"/>
    <mergeCell ref="C14:C15"/>
    <mergeCell ref="E14:E15"/>
    <mergeCell ref="G14:G15"/>
    <mergeCell ref="B11:B15"/>
    <mergeCell ref="I11:I15"/>
  </mergeCells>
  <phoneticPr fontId="2"/>
  <pageMargins left="0.39370078740157483" right="0.39370078740157483" top="0.74803149606299213" bottom="0.39370078740157483" header="0.31496062992125984" footer="0.31496062992125984"/>
  <pageSetup paperSize="9" scale="84" orientation="landscape" r:id="rId1"/>
  <rowBreaks count="1" manualBreakCount="1">
    <brk id="24" max="16383" man="1"/>
  </rowBreaks>
  <drawing r:id="rId2"/>
  <extLst>
    <ext xmlns:x14="http://schemas.microsoft.com/office/spreadsheetml/2009/9/main" uri="{78C0D931-6437-407d-A8EE-F0AAD7539E65}">
      <x14:conditionalFormattings>
        <x14:conditionalFormatting xmlns:xm="http://schemas.microsoft.com/office/excel/2006/main">
          <x14:cfRule type="cellIs" priority="4" operator="equal" id="{AE83DF71-C9E4-4C6C-80A1-2EFA06B6708E}">
            <xm:f>設定!$B$7</xm:f>
            <x14:dxf>
              <font>
                <color rgb="FFFF0000"/>
              </font>
            </x14:dxf>
          </x14:cfRule>
          <xm:sqref>H4:I4</xm:sqref>
        </x14:conditionalFormatting>
        <x14:conditionalFormatting xmlns:xm="http://schemas.microsoft.com/office/excel/2006/main">
          <x14:cfRule type="cellIs" priority="3" operator="equal" id="{85756055-FCBE-404B-9FC7-794D84949A2A}">
            <xm:f>設定!$C$7</xm:f>
            <x14:dxf>
              <font>
                <color rgb="FFFF0000"/>
              </font>
            </x14:dxf>
          </x14:cfRule>
          <xm:sqref>H5:I5</xm:sqref>
        </x14:conditionalFormatting>
        <x14:conditionalFormatting xmlns:xm="http://schemas.microsoft.com/office/excel/2006/main">
          <x14:cfRule type="cellIs" priority="2" operator="equal" id="{58AA05CC-830C-4D48-9DE3-42119C0BB07A}">
            <xm:f>設定!$D$7</xm:f>
            <x14:dxf>
              <font>
                <color rgb="FFFF0000"/>
              </font>
              <fill>
                <patternFill patternType="none">
                  <bgColor auto="1"/>
                </patternFill>
              </fill>
            </x14:dxf>
          </x14:cfRule>
          <xm:sqref>H6:I6</xm:sqref>
        </x14:conditionalFormatting>
        <x14:conditionalFormatting xmlns:xm="http://schemas.microsoft.com/office/excel/2006/main">
          <x14:cfRule type="cellIs" priority="1" operator="equal" id="{E5F25FC8-F263-4F69-8F54-A841EBC30983}">
            <xm:f>設定!$B$7+設定!$C$7+設定!$D$7</xm:f>
            <x14:dxf>
              <font>
                <color rgb="FFFF0000"/>
              </font>
            </x14:dxf>
          </x14:cfRule>
          <xm:sqref>H7:I8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outlinePr showOutlineSymbols="0"/>
  </sheetPr>
  <dimension ref="B1:I74"/>
  <sheetViews>
    <sheetView showGridLines="0" showOutlineSymbols="0" zoomScale="85" zoomScaleNormal="85" workbookViewId="0">
      <selection activeCell="D11" sqref="D11"/>
    </sheetView>
  </sheetViews>
  <sheetFormatPr defaultColWidth="8.875" defaultRowHeight="17.25" outlineLevelCol="1" x14ac:dyDescent="0.2"/>
  <cols>
    <col min="1" max="1" width="3.75" style="4" customWidth="1"/>
    <col min="2" max="2" width="22.75" style="4" customWidth="1"/>
    <col min="3" max="6" width="24.75" style="4" customWidth="1"/>
    <col min="7" max="7" width="3.75" style="15" customWidth="1"/>
    <col min="8" max="8" width="7.25" style="25" hidden="1" customWidth="1" outlineLevel="1"/>
    <col min="9" max="9" width="15.75" style="4" customWidth="1" collapsed="1"/>
    <col min="10" max="13" width="15.75" style="4" customWidth="1"/>
    <col min="14" max="16384" width="8.875" style="4"/>
  </cols>
  <sheetData>
    <row r="1" spans="2:9" ht="30" customHeight="1" x14ac:dyDescent="0.2">
      <c r="B1" s="5" t="s">
        <v>33</v>
      </c>
      <c r="D1" s="11"/>
      <c r="E1" s="11"/>
      <c r="F1" s="11"/>
    </row>
    <row r="2" spans="2:9" ht="30" customHeight="1" thickBot="1" x14ac:dyDescent="0.25">
      <c r="B2" s="5"/>
      <c r="D2" s="11"/>
      <c r="E2" s="11"/>
      <c r="F2" s="11"/>
    </row>
    <row r="3" spans="2:9" ht="30" customHeight="1" thickBot="1" x14ac:dyDescent="0.25">
      <c r="B3" s="10" t="s">
        <v>23</v>
      </c>
      <c r="C3" s="20" t="str">
        <f>IF(試算シート!G27="国民健康保険",IF(COUNTA(試算シート!H27,試算シート!H31:H38)=0,"",COUNTA(試算シート!H27,試算シート!H31:H38)),IF(COUNTA(試算シート!H31:H38)=0,"",COUNTA(試算シート!H31:H38)))</f>
        <v/>
      </c>
      <c r="D3" s="11"/>
    </row>
    <row r="4" spans="2:9" ht="30" customHeight="1" thickBot="1" x14ac:dyDescent="0.25">
      <c r="B4" s="11"/>
      <c r="C4" s="8"/>
      <c r="D4" s="11"/>
    </row>
    <row r="5" spans="2:9" ht="30" customHeight="1" thickBot="1" x14ac:dyDescent="0.25">
      <c r="B5" s="10" t="s">
        <v>77</v>
      </c>
      <c r="C5" s="20" t="str">
        <f>IF(C3="","",試算シート!F39)</f>
        <v/>
      </c>
      <c r="D5" s="11"/>
    </row>
    <row r="6" spans="2:9" ht="30" customHeight="1" thickBot="1" x14ac:dyDescent="0.25">
      <c r="B6" s="11"/>
      <c r="C6" s="8"/>
      <c r="D6" s="11"/>
    </row>
    <row r="7" spans="2:9" ht="30" customHeight="1" thickBot="1" x14ac:dyDescent="0.25">
      <c r="B7" s="10" t="s">
        <v>24</v>
      </c>
      <c r="C7" s="108">
        <f>IF(COUNTA(試算シート!Q27,試算シート!Q31:Q38)=0,"",SUM(試算シート!Q27,試算シート!Q31:Q38))</f>
        <v>0</v>
      </c>
      <c r="D7" s="11"/>
      <c r="E7" s="13" t="s">
        <v>32</v>
      </c>
      <c r="F7" s="21" t="str">
        <f>IF(試算シート!D39=0,"",IF(AND(試算シート!C39&gt;=1),"判定不能",IF(AND(C7&lt;=C14),"７割減額",IF(AND(C7&gt;C14,C7&lt;=D14),"５割減額",IF(AND(C7&gt;D14,C7&lt;=E14),"２割減額",IF(AND(C7&gt;E14),"減額なし"))))))</f>
        <v>判定不能</v>
      </c>
      <c r="H7" s="14">
        <f>IF(F7="","",IF(AND(F7="判定不能"),0,IF(AND(F7="７割減額"),0.7,IF(AND(F7="５割減額"),0.5,IF(AND(F7="２割減額"),0.2,IF(AND(F7="減額なし"),0))))))</f>
        <v>0</v>
      </c>
      <c r="I7" s="19"/>
    </row>
    <row r="8" spans="2:9" ht="18" customHeight="1" x14ac:dyDescent="0.2">
      <c r="B8" s="322"/>
      <c r="C8" s="323"/>
      <c r="D8" s="11"/>
      <c r="E8" s="324"/>
      <c r="F8" s="326"/>
      <c r="H8" s="325"/>
      <c r="I8" s="19"/>
    </row>
    <row r="9" spans="2:9" s="327" customFormat="1" ht="9.75" hidden="1" customHeight="1" x14ac:dyDescent="0.2">
      <c r="B9" s="328" t="s">
        <v>149</v>
      </c>
      <c r="C9" s="329" t="e">
        <f>IF(C5-1=-1,1,C5)</f>
        <v>#VALUE!</v>
      </c>
      <c r="D9" s="330"/>
      <c r="E9" s="331"/>
      <c r="F9" s="328"/>
      <c r="H9" s="328"/>
      <c r="I9" s="332"/>
    </row>
    <row r="10" spans="2:9" ht="45" customHeight="1" thickBot="1" x14ac:dyDescent="0.25">
      <c r="F10" s="8" t="s">
        <v>19</v>
      </c>
    </row>
    <row r="11" spans="2:9" ht="30" customHeight="1" thickBot="1" x14ac:dyDescent="0.25">
      <c r="B11" s="62"/>
      <c r="C11" s="63" t="s">
        <v>28</v>
      </c>
      <c r="D11" s="64" t="s">
        <v>29</v>
      </c>
      <c r="E11" s="64" t="s">
        <v>30</v>
      </c>
      <c r="F11" s="65" t="s">
        <v>31</v>
      </c>
      <c r="G11" s="16"/>
    </row>
    <row r="12" spans="2:9" ht="50.45" customHeight="1" thickTop="1" x14ac:dyDescent="0.2">
      <c r="B12" s="436" t="s">
        <v>39</v>
      </c>
      <c r="C12" s="438" t="s">
        <v>76</v>
      </c>
      <c r="D12" s="81" t="s">
        <v>40</v>
      </c>
      <c r="E12" s="81" t="s">
        <v>40</v>
      </c>
      <c r="F12" s="82" t="s">
        <v>41</v>
      </c>
      <c r="G12" s="16"/>
    </row>
    <row r="13" spans="2:9" ht="81" customHeight="1" thickBot="1" x14ac:dyDescent="0.25">
      <c r="B13" s="437"/>
      <c r="C13" s="439"/>
      <c r="D13" s="130" t="str">
        <f>"("&amp;FIXED(設定!B11,0)&amp;"円×加入者数）＋"&amp;FIXED(設定!B10,0)&amp;"円"&amp;"+(給与所得者等の数-1）×100,000円"</f>
        <v>(305,000円×加入者数）＋430,000円+(給与所得者等の数-1）×100,000円</v>
      </c>
      <c r="E13" s="129" t="str">
        <f>"("&amp;FIXED(設定!B12,0)&amp;"円×加入者数）＋"&amp;FIXED(設定!B10,0)&amp;"円"&amp;"+(給与所得者等の数-1）×100,000円"</f>
        <v>(560,000円×加入者数）＋430,000円+(給与所得者等の数-1）×100,000円</v>
      </c>
      <c r="F13" s="66"/>
      <c r="G13" s="16"/>
    </row>
    <row r="14" spans="2:9" ht="49.9" customHeight="1" thickBot="1" x14ac:dyDescent="0.25">
      <c r="B14" s="61" t="s">
        <v>42</v>
      </c>
      <c r="C14" s="58" t="str">
        <f>IF(C3="","",(設定!B10+(C9-1)*100000))</f>
        <v/>
      </c>
      <c r="D14" s="59" t="str">
        <f>IF(C3="","",(設定!B11*C3)+設定!B10+((C9-1)*100000))</f>
        <v/>
      </c>
      <c r="E14" s="59" t="str">
        <f>IF(C3="","",(設定!B12*C3)+設定!B10+((C9-1)*100000))</f>
        <v/>
      </c>
      <c r="F14" s="60" t="s">
        <v>75</v>
      </c>
    </row>
    <row r="15" spans="2:9" s="6" customFormat="1" ht="21" customHeight="1" x14ac:dyDescent="0.15">
      <c r="G15" s="78"/>
      <c r="H15" s="79"/>
    </row>
    <row r="16" spans="2:9" s="1" customFormat="1" ht="19.149999999999999" customHeight="1" x14ac:dyDescent="0.15">
      <c r="G16" s="80"/>
      <c r="H16" s="17"/>
    </row>
    <row r="17" spans="7:8" s="6" customFormat="1" ht="21" customHeight="1" x14ac:dyDescent="0.15">
      <c r="G17" s="78"/>
      <c r="H17" s="79"/>
    </row>
    <row r="18" spans="7:8" s="6" customFormat="1" ht="21" customHeight="1" x14ac:dyDescent="0.15">
      <c r="G18" s="78"/>
      <c r="H18" s="79"/>
    </row>
    <row r="19" spans="7:8" s="6" customFormat="1" ht="21" customHeight="1" x14ac:dyDescent="0.15">
      <c r="G19" s="78"/>
      <c r="H19" s="79"/>
    </row>
    <row r="20" spans="7:8" s="6" customFormat="1" ht="21" customHeight="1" x14ac:dyDescent="0.15">
      <c r="G20" s="78"/>
      <c r="H20" s="79"/>
    </row>
    <row r="21" spans="7:8" ht="21" customHeight="1" x14ac:dyDescent="0.2"/>
    <row r="22" spans="7:8" ht="21" customHeight="1" x14ac:dyDescent="0.2"/>
    <row r="23" spans="7:8" ht="21" customHeight="1" x14ac:dyDescent="0.2"/>
    <row r="24" spans="7:8" ht="21" customHeight="1" x14ac:dyDescent="0.2"/>
    <row r="25" spans="7:8" ht="21" customHeight="1" x14ac:dyDescent="0.2"/>
    <row r="26" spans="7:8" ht="21" customHeight="1" x14ac:dyDescent="0.2"/>
    <row r="27" spans="7:8" ht="21" customHeight="1" x14ac:dyDescent="0.2"/>
    <row r="28" spans="7:8" ht="21" customHeight="1" x14ac:dyDescent="0.2"/>
    <row r="29" spans="7:8" ht="21" customHeight="1" x14ac:dyDescent="0.2"/>
    <row r="30" spans="7:8" ht="21" customHeight="1" x14ac:dyDescent="0.2"/>
    <row r="31" spans="7:8" ht="21" customHeight="1" x14ac:dyDescent="0.2"/>
    <row r="32" spans="7:8"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sheetData>
  <sheetProtection algorithmName="SHA-512" hashValue="G3V0cIp2iQKShIMP5RNMxEPbvcmn2VuhunBt+BD8rOiAGoqMnxDiHQhEHj2IP+q1HNylBTTGnFSI8s5B7nVuSw==" saltValue="iRV/lS+yfAJ0kPyJkoN/iw==" spinCount="100000" sheet="1" selectLockedCells="1" selectUnlockedCells="1"/>
  <mergeCells count="2">
    <mergeCell ref="B12:B13"/>
    <mergeCell ref="C12:C13"/>
  </mergeCells>
  <phoneticPr fontId="2"/>
  <conditionalFormatting sqref="C11:C14">
    <cfRule type="expression" dxfId="26" priority="6">
      <formula>$F$7="７割減額"</formula>
    </cfRule>
  </conditionalFormatting>
  <conditionalFormatting sqref="D11:D14">
    <cfRule type="expression" dxfId="25" priority="4">
      <formula>$F$7="５割減額"</formula>
    </cfRule>
  </conditionalFormatting>
  <conditionalFormatting sqref="E11:E14">
    <cfRule type="expression" dxfId="24" priority="3">
      <formula>$F$7="２割減額"</formula>
    </cfRule>
  </conditionalFormatting>
  <conditionalFormatting sqref="F11:F14">
    <cfRule type="expression" dxfId="23" priority="2">
      <formula>$F$7="減額なし"</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2"/>
  <sheetViews>
    <sheetView showGridLines="0" showRowColHeaders="0" zoomScale="85" zoomScaleNormal="85" zoomScaleSheetLayoutView="100" workbookViewId="0">
      <selection activeCell="D3" sqref="D3:E3"/>
    </sheetView>
  </sheetViews>
  <sheetFormatPr defaultColWidth="8.875" defaultRowHeight="17.25" x14ac:dyDescent="0.15"/>
  <cols>
    <col min="1" max="1" width="5.625" style="83" customWidth="1"/>
    <col min="2" max="2" width="5.75" style="83" customWidth="1"/>
    <col min="3" max="3" width="12.625" style="83" customWidth="1"/>
    <col min="4" max="4" width="5.75" style="83" customWidth="1"/>
    <col min="5" max="5" width="13.125" style="83" customWidth="1"/>
    <col min="6" max="6" width="40.75" style="83" customWidth="1"/>
    <col min="7" max="7" width="14.5" style="84" customWidth="1"/>
    <col min="8" max="8" width="3.75" style="83" customWidth="1"/>
    <col min="9" max="17" width="8.875" style="109"/>
    <col min="18" max="16384" width="8.875" style="83"/>
  </cols>
  <sheetData>
    <row r="1" spans="1:17" ht="18.75" x14ac:dyDescent="0.15">
      <c r="B1" s="120" t="s">
        <v>157</v>
      </c>
    </row>
    <row r="2" spans="1:17" ht="18" thickBot="1" x14ac:dyDescent="0.25">
      <c r="E2" s="8"/>
    </row>
    <row r="3" spans="1:17" ht="18" thickBot="1" x14ac:dyDescent="0.2">
      <c r="B3" s="442" t="s">
        <v>54</v>
      </c>
      <c r="C3" s="443"/>
      <c r="D3" s="444">
        <v>1000000</v>
      </c>
      <c r="E3" s="445"/>
      <c r="F3" s="96" t="s">
        <v>159</v>
      </c>
      <c r="I3" s="83"/>
    </row>
    <row r="4" spans="1:17" s="84" customFormat="1" ht="18" thickBot="1" x14ac:dyDescent="0.2">
      <c r="B4" s="98"/>
      <c r="C4" s="98"/>
      <c r="D4" s="99"/>
      <c r="E4" s="99"/>
      <c r="J4" s="110"/>
      <c r="K4" s="110"/>
      <c r="L4" s="110"/>
      <c r="M4" s="110"/>
      <c r="N4" s="110"/>
      <c r="O4" s="110"/>
      <c r="P4" s="110"/>
      <c r="Q4" s="110"/>
    </row>
    <row r="5" spans="1:17" ht="18" thickBot="1" x14ac:dyDescent="0.2">
      <c r="B5" s="442" t="s">
        <v>55</v>
      </c>
      <c r="C5" s="443"/>
      <c r="D5" s="446">
        <f>IF(D3="","",(VLOOKUP("該当",B9:G19,6,FALSE)))</f>
        <v>450000</v>
      </c>
      <c r="E5" s="447"/>
      <c r="I5" s="109" t="s">
        <v>158</v>
      </c>
    </row>
    <row r="6" spans="1:17" s="84" customFormat="1" x14ac:dyDescent="0.15">
      <c r="B6" s="100"/>
      <c r="C6" s="98"/>
      <c r="D6" s="99"/>
      <c r="E6" s="99"/>
      <c r="I6" s="110" t="s">
        <v>64</v>
      </c>
      <c r="J6" s="110"/>
      <c r="K6" s="110"/>
      <c r="L6" s="110"/>
      <c r="M6" s="110"/>
      <c r="N6" s="110"/>
      <c r="O6" s="110"/>
      <c r="P6" s="110"/>
      <c r="Q6" s="110"/>
    </row>
    <row r="7" spans="1:17" ht="18" thickBot="1" x14ac:dyDescent="0.25">
      <c r="G7" s="8" t="s">
        <v>19</v>
      </c>
    </row>
    <row r="8" spans="1:17" ht="18" thickBot="1" x14ac:dyDescent="0.2">
      <c r="B8" s="122"/>
      <c r="C8" s="440" t="s">
        <v>51</v>
      </c>
      <c r="D8" s="441"/>
      <c r="E8" s="441"/>
      <c r="F8" s="123" t="s">
        <v>50</v>
      </c>
      <c r="G8" s="124" t="s">
        <v>52</v>
      </c>
      <c r="I8" s="110" t="s">
        <v>60</v>
      </c>
    </row>
    <row r="9" spans="1:17" ht="18" thickTop="1" x14ac:dyDescent="0.15">
      <c r="B9" s="85" t="str">
        <f>IF(AND(COUNTA(D3)=1,D3&gt;=C9,D3&lt;=E9),"該当","")</f>
        <v/>
      </c>
      <c r="C9" s="101">
        <v>0</v>
      </c>
      <c r="D9" s="105" t="s">
        <v>49</v>
      </c>
      <c r="E9" s="86">
        <f t="shared" ref="E9:E17" si="0">C10-1</f>
        <v>550999</v>
      </c>
      <c r="F9" s="87" t="s">
        <v>53</v>
      </c>
      <c r="G9" s="88" t="str">
        <f>IF(B9="該当",0,"")</f>
        <v/>
      </c>
      <c r="I9" s="109" t="s">
        <v>61</v>
      </c>
    </row>
    <row r="10" spans="1:17" x14ac:dyDescent="0.15">
      <c r="B10" s="89" t="str">
        <f>IF(AND(D3&gt;=C10,D3&lt;=E10),"該当","")</f>
        <v>該当</v>
      </c>
      <c r="C10" s="102">
        <v>551000</v>
      </c>
      <c r="D10" s="106" t="s">
        <v>56</v>
      </c>
      <c r="E10" s="90">
        <f t="shared" si="0"/>
        <v>1618999</v>
      </c>
      <c r="F10" s="91" t="s">
        <v>79</v>
      </c>
      <c r="G10" s="92">
        <f>IF(B10="該当",D3-550000,"")</f>
        <v>450000</v>
      </c>
    </row>
    <row r="11" spans="1:17" x14ac:dyDescent="0.15">
      <c r="B11" s="89" t="str">
        <f>IF(AND(D3&gt;=C11,D3&lt;=E11),"該当","")</f>
        <v/>
      </c>
      <c r="C11" s="102">
        <v>1619000</v>
      </c>
      <c r="D11" s="106" t="s">
        <v>57</v>
      </c>
      <c r="E11" s="90">
        <f t="shared" si="0"/>
        <v>1619999</v>
      </c>
      <c r="F11" s="91" t="s">
        <v>80</v>
      </c>
      <c r="G11" s="92" t="str">
        <f>IF(B11="該当",1069000,"")</f>
        <v/>
      </c>
      <c r="I11" s="109" t="s">
        <v>62</v>
      </c>
    </row>
    <row r="12" spans="1:17" x14ac:dyDescent="0.15">
      <c r="B12" s="89" t="str">
        <f>IF(AND(D3&gt;=C12,D3&lt;=E12),"該当","")</f>
        <v/>
      </c>
      <c r="C12" s="102">
        <v>1620000</v>
      </c>
      <c r="D12" s="106" t="s">
        <v>57</v>
      </c>
      <c r="E12" s="90">
        <f t="shared" si="0"/>
        <v>1621999</v>
      </c>
      <c r="F12" s="91" t="s">
        <v>81</v>
      </c>
      <c r="G12" s="92" t="str">
        <f>IF(B12="該当",1070000,"")</f>
        <v/>
      </c>
    </row>
    <row r="13" spans="1:17" x14ac:dyDescent="0.15">
      <c r="B13" s="89" t="str">
        <f>IF(AND(D3&gt;=C13,D3&lt;=E13),"該当","")</f>
        <v/>
      </c>
      <c r="C13" s="102">
        <v>1622000</v>
      </c>
      <c r="D13" s="106" t="s">
        <v>56</v>
      </c>
      <c r="E13" s="90">
        <f t="shared" si="0"/>
        <v>1623999</v>
      </c>
      <c r="F13" s="91" t="s">
        <v>82</v>
      </c>
      <c r="G13" s="92" t="str">
        <f>IF(B13="該当",1072000,"")</f>
        <v/>
      </c>
    </row>
    <row r="14" spans="1:17" x14ac:dyDescent="0.15">
      <c r="B14" s="89" t="str">
        <f>IF(AND(D3&gt;=C14,D3&lt;=E14),"該当","")</f>
        <v/>
      </c>
      <c r="C14" s="102">
        <v>1624000</v>
      </c>
      <c r="D14" s="106" t="s">
        <v>58</v>
      </c>
      <c r="E14" s="90">
        <f t="shared" si="0"/>
        <v>1627999</v>
      </c>
      <c r="F14" s="91" t="s">
        <v>83</v>
      </c>
      <c r="G14" s="92" t="str">
        <f>IF(B14="該当",1074000,"")</f>
        <v/>
      </c>
    </row>
    <row r="15" spans="1:17" x14ac:dyDescent="0.15">
      <c r="B15" s="89" t="str">
        <f>IF(AND(D3&gt;=C15,D3&lt;=E15),"該当","")</f>
        <v/>
      </c>
      <c r="C15" s="102">
        <v>1628000</v>
      </c>
      <c r="D15" s="106" t="s">
        <v>59</v>
      </c>
      <c r="E15" s="90">
        <f t="shared" si="0"/>
        <v>1799999</v>
      </c>
      <c r="F15" s="91" t="s">
        <v>99</v>
      </c>
      <c r="G15" s="92" t="str">
        <f>IF(B15="該当",(INT(D3/4000)*1000)*2.4+100000,"")</f>
        <v/>
      </c>
    </row>
    <row r="16" spans="1:17" x14ac:dyDescent="0.15">
      <c r="A16" s="109" t="s">
        <v>66</v>
      </c>
      <c r="B16" s="89" t="str">
        <f>IF(AND(D3&gt;=C16,D3&lt;=E16),"該当","")</f>
        <v/>
      </c>
      <c r="C16" s="102">
        <v>1800000</v>
      </c>
      <c r="D16" s="106" t="s">
        <v>58</v>
      </c>
      <c r="E16" s="90">
        <f t="shared" si="0"/>
        <v>3599999</v>
      </c>
      <c r="F16" s="91" t="s">
        <v>100</v>
      </c>
      <c r="G16" s="92" t="str">
        <f>IF(B16="該当",(INT(D3/4000)*1000)*2.8-80000,"")</f>
        <v/>
      </c>
    </row>
    <row r="17" spans="2:7" x14ac:dyDescent="0.15">
      <c r="B17" s="89" t="str">
        <f>IF(AND(D3&gt;=C17,D3&lt;=E17),"該当","")</f>
        <v/>
      </c>
      <c r="C17" s="102">
        <v>3600000</v>
      </c>
      <c r="D17" s="106" t="s">
        <v>57</v>
      </c>
      <c r="E17" s="90">
        <f t="shared" si="0"/>
        <v>6599999</v>
      </c>
      <c r="F17" s="91" t="s">
        <v>101</v>
      </c>
      <c r="G17" s="92" t="str">
        <f>IF(B17="該当",(INT(D3/4000)*1000)*3.2-440000,"")</f>
        <v/>
      </c>
    </row>
    <row r="18" spans="2:7" x14ac:dyDescent="0.15">
      <c r="B18" s="89" t="str">
        <f>IF(AND(D3&gt;=C18,D3&lt;=E18),"該当","")</f>
        <v/>
      </c>
      <c r="C18" s="102">
        <v>6600000</v>
      </c>
      <c r="D18" s="106" t="s">
        <v>57</v>
      </c>
      <c r="E18" s="90">
        <f>C19-1</f>
        <v>8499999</v>
      </c>
      <c r="F18" s="91" t="s">
        <v>84</v>
      </c>
      <c r="G18" s="92" t="str">
        <f>IF(B18="該当",INT(D3*90%)-1100000,"")</f>
        <v/>
      </c>
    </row>
    <row r="19" spans="2:7" ht="18" thickBot="1" x14ac:dyDescent="0.2">
      <c r="B19" s="93" t="str">
        <f>IF(D3&gt;=C19,"該当","")</f>
        <v/>
      </c>
      <c r="C19" s="103">
        <v>8500000</v>
      </c>
      <c r="D19" s="107" t="s">
        <v>56</v>
      </c>
      <c r="E19" s="104"/>
      <c r="F19" s="94" t="s">
        <v>85</v>
      </c>
      <c r="G19" s="95" t="str">
        <f>IF(B19="該当",D3-1950000,"")</f>
        <v/>
      </c>
    </row>
    <row r="20" spans="2:7" x14ac:dyDescent="0.15">
      <c r="B20" s="96" t="s">
        <v>102</v>
      </c>
      <c r="D20" s="97"/>
    </row>
    <row r="21" spans="2:7" x14ac:dyDescent="0.15">
      <c r="D21" s="97"/>
    </row>
    <row r="22" spans="2:7" x14ac:dyDescent="0.15">
      <c r="D22" s="97"/>
    </row>
  </sheetData>
  <sheetProtection algorithmName="SHA-512" hashValue="FQglDntoS9oEpmKGGuSEZv/I6+sdRgHe6jTo9qOcLXI/e7nfXZYLhaslwgUkWc+yQxqUi7MsE5qS9+aYXXG4fg==" saltValue="EWRZIpCXzWxq/6HbStu+Zg==" spinCount="100000" sheet="1" selectLockedCells="1"/>
  <mergeCells count="5">
    <mergeCell ref="C8:E8"/>
    <mergeCell ref="B3:C3"/>
    <mergeCell ref="B5:C5"/>
    <mergeCell ref="D3:E3"/>
    <mergeCell ref="D5:E5"/>
  </mergeCells>
  <phoneticPr fontId="2"/>
  <conditionalFormatting sqref="B9:G9">
    <cfRule type="expression" dxfId="22" priority="12">
      <formula>$B$9="該当"</formula>
    </cfRule>
  </conditionalFormatting>
  <conditionalFormatting sqref="B10:G10">
    <cfRule type="expression" dxfId="21" priority="11">
      <formula>$B$10="該当"</formula>
    </cfRule>
  </conditionalFormatting>
  <conditionalFormatting sqref="B11:G11">
    <cfRule type="expression" dxfId="20" priority="10">
      <formula>$B$11="該当"</formula>
    </cfRule>
  </conditionalFormatting>
  <conditionalFormatting sqref="B12:G12">
    <cfRule type="expression" dxfId="19" priority="9">
      <formula>$B$12="該当"</formula>
    </cfRule>
  </conditionalFormatting>
  <conditionalFormatting sqref="B13:G13">
    <cfRule type="expression" dxfId="18" priority="8">
      <formula>$B$13="該当"</formula>
    </cfRule>
  </conditionalFormatting>
  <conditionalFormatting sqref="B14:G14">
    <cfRule type="expression" dxfId="17" priority="7">
      <formula>$B$14="該当"</formula>
    </cfRule>
  </conditionalFormatting>
  <conditionalFormatting sqref="B15:G15">
    <cfRule type="expression" dxfId="16" priority="6">
      <formula>$B$15="該当"</formula>
    </cfRule>
  </conditionalFormatting>
  <conditionalFormatting sqref="B16:G16">
    <cfRule type="expression" dxfId="15" priority="5">
      <formula>$B$16="該当"</formula>
    </cfRule>
  </conditionalFormatting>
  <conditionalFormatting sqref="B17:G17">
    <cfRule type="expression" dxfId="14" priority="4">
      <formula>$B$17="該当"</formula>
    </cfRule>
  </conditionalFormatting>
  <conditionalFormatting sqref="B18:G18">
    <cfRule type="expression" dxfId="13" priority="3">
      <formula>$B$18="該当"</formula>
    </cfRule>
  </conditionalFormatting>
  <conditionalFormatting sqref="B19:G19">
    <cfRule type="expression" dxfId="12" priority="1">
      <formula>$B$19="該当"</formula>
    </cfRule>
  </conditionalFormatting>
  <dataValidations count="1">
    <dataValidation type="whole" operator="greaterThanOrEqual" allowBlank="1" showInputMessage="1" showErrorMessage="1" error="0円以上の整数を入力してください。" sqref="D3:E3">
      <formula1>0</formula1>
    </dataValidation>
  </dataValidations>
  <pageMargins left="0.7" right="0.7" top="0.75" bottom="0.75" header="0.3" footer="0.3"/>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Q29"/>
  <sheetViews>
    <sheetView showGridLines="0" showRowColHeaders="0" view="pageBreakPreview" zoomScale="85" zoomScaleNormal="85" zoomScaleSheetLayoutView="85" workbookViewId="0">
      <selection activeCell="D6" sqref="D6:E6"/>
    </sheetView>
  </sheetViews>
  <sheetFormatPr defaultColWidth="8.875" defaultRowHeight="17.25" x14ac:dyDescent="0.15"/>
  <cols>
    <col min="1" max="1" width="3.125" style="83" customWidth="1"/>
    <col min="2" max="2" width="6.625" style="83" customWidth="1"/>
    <col min="3" max="3" width="12.625" style="83" customWidth="1"/>
    <col min="4" max="4" width="5.75" style="83" customWidth="1"/>
    <col min="5" max="5" width="13.125" style="83" customWidth="1"/>
    <col min="6" max="6" width="40.75" style="83" customWidth="1"/>
    <col min="7" max="7" width="16.625" style="84" customWidth="1"/>
    <col min="8" max="8" width="3.75" style="83" customWidth="1"/>
    <col min="9" max="17" width="8.875" style="109"/>
    <col min="18" max="16384" width="8.875" style="83"/>
  </cols>
  <sheetData>
    <row r="1" spans="2:17" ht="18.75" x14ac:dyDescent="0.15">
      <c r="B1" s="120" t="s">
        <v>152</v>
      </c>
    </row>
    <row r="2" spans="2:17" x14ac:dyDescent="0.2">
      <c r="B2" s="136" t="s">
        <v>86</v>
      </c>
      <c r="E2" s="8"/>
    </row>
    <row r="3" spans="2:17" ht="18" thickBot="1" x14ac:dyDescent="0.25">
      <c r="E3" s="8"/>
    </row>
    <row r="4" spans="2:17" ht="18" thickBot="1" x14ac:dyDescent="0.25">
      <c r="B4" s="121" t="s">
        <v>63</v>
      </c>
      <c r="C4" s="126">
        <v>74</v>
      </c>
      <c r="D4" s="96" t="s">
        <v>153</v>
      </c>
      <c r="E4" s="8"/>
    </row>
    <row r="5" spans="2:17" ht="18" thickBot="1" x14ac:dyDescent="0.25">
      <c r="B5" s="100"/>
      <c r="C5" s="98"/>
      <c r="E5" s="8"/>
    </row>
    <row r="6" spans="2:17" ht="18" thickBot="1" x14ac:dyDescent="0.2">
      <c r="B6" s="442" t="s">
        <v>67</v>
      </c>
      <c r="C6" s="448"/>
      <c r="D6" s="449"/>
      <c r="E6" s="445"/>
      <c r="F6" s="96" t="s">
        <v>142</v>
      </c>
      <c r="I6" s="109" t="s">
        <v>154</v>
      </c>
    </row>
    <row r="7" spans="2:17" s="84" customFormat="1" ht="18" thickBot="1" x14ac:dyDescent="0.2">
      <c r="D7" s="99"/>
      <c r="E7" s="99"/>
      <c r="I7" s="110"/>
      <c r="J7" s="110"/>
      <c r="K7" s="110"/>
      <c r="L7" s="110"/>
      <c r="M7" s="110"/>
      <c r="N7" s="110"/>
      <c r="O7" s="110"/>
      <c r="P7" s="110"/>
      <c r="Q7" s="110"/>
    </row>
    <row r="8" spans="2:17" ht="18" thickBot="1" x14ac:dyDescent="0.2">
      <c r="B8" s="450" t="s">
        <v>68</v>
      </c>
      <c r="C8" s="451"/>
      <c r="D8" s="452" t="str">
        <f>IF(OR(C4="",D6=""),"",(VLOOKUP("該当",B10:G26,6,FALSE)))</f>
        <v/>
      </c>
      <c r="E8" s="453"/>
      <c r="F8" s="112"/>
      <c r="I8" s="110" t="s">
        <v>72</v>
      </c>
      <c r="J8" s="110"/>
      <c r="K8" s="110"/>
      <c r="L8" s="110"/>
      <c r="M8" s="110"/>
      <c r="N8" s="110"/>
      <c r="O8" s="110"/>
      <c r="P8" s="110"/>
    </row>
    <row r="9" spans="2:17" s="84" customFormat="1" x14ac:dyDescent="0.15">
      <c r="B9" s="100"/>
      <c r="C9" s="98"/>
      <c r="E9" s="99"/>
      <c r="F9" s="99"/>
      <c r="I9" s="109" t="s">
        <v>73</v>
      </c>
      <c r="J9" s="109"/>
      <c r="K9" s="109"/>
      <c r="L9" s="109"/>
      <c r="M9" s="109"/>
      <c r="N9" s="109"/>
      <c r="O9" s="109"/>
      <c r="P9" s="109"/>
      <c r="Q9" s="110"/>
    </row>
    <row r="10" spans="2:17" ht="18" thickBot="1" x14ac:dyDescent="0.25">
      <c r="B10" s="96" t="s">
        <v>156</v>
      </c>
      <c r="G10" s="8" t="s">
        <v>19</v>
      </c>
    </row>
    <row r="11" spans="2:17" ht="18" thickBot="1" x14ac:dyDescent="0.2">
      <c r="B11" s="122"/>
      <c r="C11" s="441" t="s">
        <v>69</v>
      </c>
      <c r="D11" s="441"/>
      <c r="E11" s="441"/>
      <c r="F11" s="123" t="s">
        <v>70</v>
      </c>
      <c r="G11" s="124" t="s">
        <v>71</v>
      </c>
      <c r="I11" s="109" t="s">
        <v>74</v>
      </c>
    </row>
    <row r="12" spans="2:17" ht="18" thickTop="1" x14ac:dyDescent="0.15">
      <c r="B12" s="85" t="str">
        <f>IF(AND(C4&gt;=65,(COUNTA(D6))=1,D6&gt;=C12,D6&lt;=E12),"該当","")</f>
        <v/>
      </c>
      <c r="C12" s="117">
        <v>0</v>
      </c>
      <c r="D12" s="113" t="s">
        <v>49</v>
      </c>
      <c r="E12" s="86">
        <f>C13-1</f>
        <v>1100000</v>
      </c>
      <c r="F12" s="87" t="s">
        <v>53</v>
      </c>
      <c r="G12" s="88" t="str">
        <f>IF(B12="該当",0,"")</f>
        <v/>
      </c>
    </row>
    <row r="13" spans="2:17" x14ac:dyDescent="0.15">
      <c r="B13" s="89" t="str">
        <f>IF(AND(C4&gt;=65,D6&gt;=C13,D6&lt;=E13),"該当","")</f>
        <v/>
      </c>
      <c r="C13" s="115">
        <v>1100001</v>
      </c>
      <c r="D13" s="106" t="s">
        <v>56</v>
      </c>
      <c r="E13" s="90">
        <f t="shared" ref="E13:E23" si="0">C14-1</f>
        <v>3300000</v>
      </c>
      <c r="F13" s="91" t="s">
        <v>93</v>
      </c>
      <c r="G13" s="92" t="str">
        <f>IF(B13="該当",D6-1100000,"")</f>
        <v/>
      </c>
      <c r="I13" s="109" t="s">
        <v>87</v>
      </c>
    </row>
    <row r="14" spans="2:17" x14ac:dyDescent="0.15">
      <c r="B14" s="89" t="str">
        <f>IF(AND(C4&gt;=65,D6&gt;=C14,D6&lt;=E14),"該当","")</f>
        <v/>
      </c>
      <c r="C14" s="115">
        <v>3300001</v>
      </c>
      <c r="D14" s="106" t="s">
        <v>57</v>
      </c>
      <c r="E14" s="90">
        <f t="shared" si="0"/>
        <v>4100000</v>
      </c>
      <c r="F14" s="91" t="s">
        <v>90</v>
      </c>
      <c r="G14" s="92" t="str">
        <f>IF(B14="該当",D6*75%-275000,"")</f>
        <v/>
      </c>
      <c r="I14" s="109" t="s">
        <v>88</v>
      </c>
    </row>
    <row r="15" spans="2:17" x14ac:dyDescent="0.15">
      <c r="B15" s="89" t="str">
        <f>IF(AND(C4&gt;=65,D6&gt;=C15,D6&lt;=E15),"該当","")</f>
        <v/>
      </c>
      <c r="C15" s="115">
        <v>4100001</v>
      </c>
      <c r="D15" s="106" t="s">
        <v>57</v>
      </c>
      <c r="E15" s="90">
        <f>C16-1</f>
        <v>7700000</v>
      </c>
      <c r="F15" s="91" t="s">
        <v>91</v>
      </c>
      <c r="G15" s="92" t="str">
        <f>IF(B15="該当",D6*85%-685000,"")</f>
        <v/>
      </c>
    </row>
    <row r="16" spans="2:17" x14ac:dyDescent="0.15">
      <c r="B16" s="89" t="str">
        <f>IF(AND(C4&gt;=65,D6&gt;=C16,D6&lt;=E16),"該当","")</f>
        <v/>
      </c>
      <c r="C16" s="115">
        <v>7700001</v>
      </c>
      <c r="D16" s="106" t="s">
        <v>49</v>
      </c>
      <c r="E16" s="90">
        <f>C17-1</f>
        <v>10000000</v>
      </c>
      <c r="F16" s="91" t="s">
        <v>92</v>
      </c>
      <c r="G16" s="92" t="str">
        <f>IF(B16="該当",D6*95%-1455000,"")</f>
        <v/>
      </c>
    </row>
    <row r="17" spans="2:17" ht="18" thickBot="1" x14ac:dyDescent="0.2">
      <c r="B17" s="93" t="str">
        <f>IF(AND(C4&gt;=65,D6&gt;=C17),"該当","")</f>
        <v/>
      </c>
      <c r="C17" s="116">
        <v>10000001</v>
      </c>
      <c r="D17" s="107" t="s">
        <v>56</v>
      </c>
      <c r="E17" s="114"/>
      <c r="F17" s="94" t="s">
        <v>96</v>
      </c>
      <c r="G17" s="95" t="str">
        <f>IF(B17="該当",D6-1955000,"")</f>
        <v/>
      </c>
    </row>
    <row r="18" spans="2:17" x14ac:dyDescent="0.15">
      <c r="B18" s="98"/>
      <c r="C18" s="118"/>
      <c r="D18" s="98"/>
      <c r="E18" s="118"/>
      <c r="F18" s="118" t="s">
        <v>94</v>
      </c>
      <c r="G18" s="118"/>
    </row>
    <row r="19" spans="2:17" s="111" customFormat="1" ht="18" thickBot="1" x14ac:dyDescent="0.25">
      <c r="B19" s="125" t="s">
        <v>155</v>
      </c>
      <c r="C19" s="118"/>
      <c r="D19" s="98"/>
      <c r="E19" s="118"/>
      <c r="F19" s="118"/>
      <c r="G19" s="8" t="s">
        <v>19</v>
      </c>
      <c r="I19" s="119"/>
      <c r="J19" s="119"/>
      <c r="K19" s="119"/>
      <c r="L19" s="119"/>
      <c r="M19" s="119"/>
      <c r="N19" s="119"/>
      <c r="O19" s="119"/>
      <c r="P19" s="119"/>
      <c r="Q19" s="119"/>
    </row>
    <row r="20" spans="2:17" ht="18" thickBot="1" x14ac:dyDescent="0.2">
      <c r="B20" s="122"/>
      <c r="C20" s="441" t="s">
        <v>69</v>
      </c>
      <c r="D20" s="441"/>
      <c r="E20" s="441"/>
      <c r="F20" s="123" t="s">
        <v>70</v>
      </c>
      <c r="G20" s="124" t="s">
        <v>71</v>
      </c>
    </row>
    <row r="21" spans="2:17" ht="18" thickTop="1" x14ac:dyDescent="0.15">
      <c r="B21" s="85" t="str">
        <f>IF(AND(C4&gt;=60,C4&lt;65,(COUNTA(D6))=1,D6&gt;=C21,D6&lt;=E21),"該当","")</f>
        <v/>
      </c>
      <c r="C21" s="117">
        <v>0</v>
      </c>
      <c r="D21" s="113" t="s">
        <v>49</v>
      </c>
      <c r="E21" s="86">
        <f>C22-1</f>
        <v>600000</v>
      </c>
      <c r="F21" s="87" t="s">
        <v>53</v>
      </c>
      <c r="G21" s="88" t="str">
        <f>IF(B21="該当",0,"")</f>
        <v/>
      </c>
    </row>
    <row r="22" spans="2:17" x14ac:dyDescent="0.15">
      <c r="B22" s="85" t="str">
        <f>IF(AND(C4&gt;=60,C4&lt;65,D6&gt;=C22,D6&lt;=E22),"該当","")</f>
        <v/>
      </c>
      <c r="C22" s="117">
        <v>600001</v>
      </c>
      <c r="D22" s="113" t="s">
        <v>59</v>
      </c>
      <c r="E22" s="86">
        <f t="shared" si="0"/>
        <v>1300000</v>
      </c>
      <c r="F22" s="87" t="s">
        <v>89</v>
      </c>
      <c r="G22" s="88" t="str">
        <f>IF(B22="該当",D6-600000,"")</f>
        <v/>
      </c>
    </row>
    <row r="23" spans="2:17" x14ac:dyDescent="0.15">
      <c r="B23" s="89" t="str">
        <f>IF(AND(C4&gt;=60,C4&lt;65,D6&gt;=C23,D6&lt;=E23),"該当","")</f>
        <v/>
      </c>
      <c r="C23" s="115">
        <v>1300001</v>
      </c>
      <c r="D23" s="106" t="s">
        <v>58</v>
      </c>
      <c r="E23" s="90">
        <f t="shared" si="0"/>
        <v>4100000</v>
      </c>
      <c r="F23" s="91" t="s">
        <v>90</v>
      </c>
      <c r="G23" s="92" t="str">
        <f>IF(B23="該当",D6*75%-275000,"")</f>
        <v/>
      </c>
    </row>
    <row r="24" spans="2:17" x14ac:dyDescent="0.15">
      <c r="B24" s="89" t="str">
        <f>IF(AND(C4&gt;=60,C4&lt;65,D6&gt;=C24,D6&lt;=E24),"該当","")</f>
        <v/>
      </c>
      <c r="C24" s="115">
        <v>4100001</v>
      </c>
      <c r="D24" s="106" t="s">
        <v>57</v>
      </c>
      <c r="E24" s="90">
        <f>C25-1</f>
        <v>7700000</v>
      </c>
      <c r="F24" s="91" t="s">
        <v>91</v>
      </c>
      <c r="G24" s="143" t="str">
        <f>IF(B24="該当",D6*85%-685000,"")</f>
        <v/>
      </c>
    </row>
    <row r="25" spans="2:17" x14ac:dyDescent="0.15">
      <c r="B25" s="89" t="str">
        <f>IF(AND(C4&gt;=60,C4&lt;65,D6&gt;=C25,D6&lt;=E25),"該当","")</f>
        <v/>
      </c>
      <c r="C25" s="115">
        <v>7700001</v>
      </c>
      <c r="D25" s="106" t="s">
        <v>49</v>
      </c>
      <c r="E25" s="90">
        <f>C26-1</f>
        <v>10000000</v>
      </c>
      <c r="F25" s="91" t="s">
        <v>92</v>
      </c>
      <c r="G25" s="143" t="str">
        <f>IF(B25="該当",D6*95%-1455000,"")</f>
        <v/>
      </c>
    </row>
    <row r="26" spans="2:17" ht="18" thickBot="1" x14ac:dyDescent="0.2">
      <c r="B26" s="137" t="str">
        <f>IF(AND(C4&gt;=60,C4&lt;65,D6&gt;=C26),"該当","")</f>
        <v/>
      </c>
      <c r="C26" s="138">
        <v>10000001</v>
      </c>
      <c r="D26" s="139" t="s">
        <v>57</v>
      </c>
      <c r="E26" s="140"/>
      <c r="F26" s="141" t="s">
        <v>95</v>
      </c>
      <c r="G26" s="142" t="str">
        <f>IF(B26="該当",D6-1955000,"")</f>
        <v/>
      </c>
    </row>
    <row r="27" spans="2:17" x14ac:dyDescent="0.15">
      <c r="B27" s="96"/>
      <c r="D27" s="97"/>
    </row>
    <row r="28" spans="2:17" x14ac:dyDescent="0.15">
      <c r="D28" s="97"/>
    </row>
    <row r="29" spans="2:17" x14ac:dyDescent="0.15">
      <c r="D29" s="97"/>
    </row>
  </sheetData>
  <sheetProtection algorithmName="SHA-512" hashValue="YJLDURD/RhmGbk8GCF8jZWc59ft6kwM01ZZXVAoOYoydciruv90QOjHcuRL8pjKCCicSVN66Mjq0l1pc+q5Ouw==" saltValue="GPZQS+jFsb4g48iNlmI8qg==" spinCount="100000" sheet="1" selectLockedCells="1"/>
  <mergeCells count="6">
    <mergeCell ref="C20:E20"/>
    <mergeCell ref="B6:C6"/>
    <mergeCell ref="D6:E6"/>
    <mergeCell ref="B8:C8"/>
    <mergeCell ref="D8:E8"/>
    <mergeCell ref="C11:E11"/>
  </mergeCells>
  <phoneticPr fontId="2"/>
  <conditionalFormatting sqref="B12:G12">
    <cfRule type="expression" dxfId="11" priority="23">
      <formula>$B$12="該当"</formula>
    </cfRule>
  </conditionalFormatting>
  <conditionalFormatting sqref="B13:G13">
    <cfRule type="expression" dxfId="10" priority="22">
      <formula>$B$13="該当"</formula>
    </cfRule>
  </conditionalFormatting>
  <conditionalFormatting sqref="B14:G14">
    <cfRule type="expression" dxfId="9" priority="21">
      <formula>$B$14="該当"</formula>
    </cfRule>
  </conditionalFormatting>
  <conditionalFormatting sqref="B15:G15">
    <cfRule type="expression" dxfId="8" priority="20">
      <formula>$B$15="該当"</formula>
    </cfRule>
  </conditionalFormatting>
  <conditionalFormatting sqref="B22:G22">
    <cfRule type="expression" dxfId="7" priority="17">
      <formula>$B$22="該当"</formula>
    </cfRule>
  </conditionalFormatting>
  <conditionalFormatting sqref="B23:G23">
    <cfRule type="expression" dxfId="6" priority="16">
      <formula>$B$23="該当"</formula>
    </cfRule>
  </conditionalFormatting>
  <conditionalFormatting sqref="B17:G17">
    <cfRule type="expression" dxfId="5" priority="6">
      <formula>$B$17="該当"</formula>
    </cfRule>
  </conditionalFormatting>
  <conditionalFormatting sqref="B26:G26">
    <cfRule type="expression" dxfId="4" priority="5">
      <formula>$B$26="該当"</formula>
    </cfRule>
  </conditionalFormatting>
  <conditionalFormatting sqref="B24:G24">
    <cfRule type="expression" dxfId="3" priority="4">
      <formula>$B$24="該当"</formula>
    </cfRule>
  </conditionalFormatting>
  <conditionalFormatting sqref="B21:G21">
    <cfRule type="expression" dxfId="2" priority="3">
      <formula>$B$21="該当"</formula>
    </cfRule>
  </conditionalFormatting>
  <conditionalFormatting sqref="B25:G25">
    <cfRule type="expression" dxfId="1" priority="2">
      <formula>$B$25="該当"</formula>
    </cfRule>
  </conditionalFormatting>
  <conditionalFormatting sqref="B16:G16">
    <cfRule type="expression" dxfId="0" priority="1">
      <formula>$B$16="該当"</formula>
    </cfRule>
  </conditionalFormatting>
  <dataValidations count="2">
    <dataValidation type="whole" operator="greaterThanOrEqual" allowBlank="1" showInputMessage="1" showErrorMessage="1" error="60歳未満は入力できません。" sqref="C4">
      <formula1>60</formula1>
    </dataValidation>
    <dataValidation type="whole" operator="greaterThanOrEqual" allowBlank="1" showInputMessage="1" showErrorMessage="1" error="０円以上の整数しか入力できません。" sqref="D6:E6">
      <formula1>0</formula1>
    </dataValidation>
  </dataValidations>
  <pageMargins left="0.7" right="0.7" top="0.75" bottom="0.75" header="0.3" footer="0.3"/>
  <pageSetup paperSize="9"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showRowColHeaders="0" zoomScale="190" zoomScaleNormal="190" workbookViewId="0">
      <selection activeCell="L20" sqref="L20"/>
    </sheetView>
  </sheetViews>
  <sheetFormatPr defaultRowHeight="13.5" x14ac:dyDescent="0.15"/>
  <sheetData/>
  <sheetProtection algorithmName="SHA-512" hashValue="08GRIn8gBsMD4kaDcNGF/CIUILOAonUHjUkfuTNNovs/QGXDR/DDwiGq+wD4BA+LqyjzCGuR1mLUcbSZ5Eulpg==" saltValue="22E71E7l/bfi4Lqd9V1mRA==" spinCount="100000" sheet="1" objects="1" scenarios="1" selectLockedCells="1" selectUnlockedCells="1"/>
  <phoneticPr fontId="2"/>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showRowColHeaders="0" zoomScale="190" zoomScaleNormal="190" workbookViewId="0"/>
  </sheetViews>
  <sheetFormatPr defaultRowHeight="13.5" x14ac:dyDescent="0.15"/>
  <sheetData/>
  <sheetProtection algorithmName="SHA-512" hashValue="3xoLBuGS2IJ7rQaKcHM8NftEKq2Hu7NlW2zazdex7ysOUAVzL/8/4jEiOQmBuZPcVl6IIrV+vNP5jFfLikoS0w==" saltValue="+05h+jQckjdnlFGIHw90Mg==" spinCount="100000" sheet="1" objects="1" scenarios="1" selectLockedCells="1" selectUnlockedCells="1"/>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設定</vt:lpstr>
      <vt:lpstr>試算シート</vt:lpstr>
      <vt:lpstr>試算結果詳細</vt:lpstr>
      <vt:lpstr>均等割額軽減判定</vt:lpstr>
      <vt:lpstr>給与所得換算表</vt:lpstr>
      <vt:lpstr>公的年金所得換算表 </vt:lpstr>
      <vt:lpstr>源泉徴収票</vt:lpstr>
      <vt:lpstr>確申</vt:lpstr>
      <vt:lpstr>'公的年金所得換算表 '!Print_Area</vt:lpstr>
      <vt:lpstr>試算シート!Print_Area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kokuho_user</dc:creator>
  <cp:lastModifiedBy>伊藤 彩香</cp:lastModifiedBy>
  <cp:lastPrinted>2025-03-07T02:05:26Z</cp:lastPrinted>
  <dcterms:created xsi:type="dcterms:W3CDTF">2024-06-03T02:44:41Z</dcterms:created>
  <dcterms:modified xsi:type="dcterms:W3CDTF">2025-03-31T04:22:36Z</dcterms:modified>
</cp:coreProperties>
</file>